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inars\Mis conferencias\"/>
    </mc:Choice>
  </mc:AlternateContent>
  <xr:revisionPtr revIDLastSave="0" documentId="13_ncr:1_{ECA702E2-6102-4F0A-9180-D74B4EDBE9E8}" xr6:coauthVersionLast="47" xr6:coauthVersionMax="47" xr10:uidLastSave="{00000000-0000-0000-0000-000000000000}"/>
  <bookViews>
    <workbookView xWindow="28680" yWindow="1515" windowWidth="29040" windowHeight="15840" activeTab="2" xr2:uid="{8BFB8043-17CE-4978-A4E4-2B497F98E920}"/>
  </bookViews>
  <sheets>
    <sheet name="Generalidades" sheetId="1" r:id="rId1"/>
    <sheet name="Estadística" sheetId="2" r:id="rId2"/>
    <sheet name="Proyección de Ventas" sheetId="3" r:id="rId3"/>
    <sheet name="Prima Tarif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D12" i="3"/>
  <c r="E16" i="3"/>
  <c r="F16" i="3" s="1"/>
  <c r="G16" i="3" s="1"/>
  <c r="D16" i="3"/>
  <c r="C16" i="3"/>
  <c r="C14" i="3"/>
  <c r="O6" i="4"/>
  <c r="O4" i="4"/>
  <c r="H15" i="4"/>
  <c r="G14" i="4"/>
  <c r="G13" i="4"/>
  <c r="G12" i="4"/>
  <c r="G11" i="4"/>
  <c r="G10" i="4"/>
  <c r="N40" i="2"/>
  <c r="G8" i="4"/>
  <c r="F12" i="4"/>
  <c r="F13" i="4"/>
  <c r="F14" i="4"/>
  <c r="F11" i="4"/>
  <c r="C6" i="3"/>
  <c r="E12" i="3"/>
  <c r="F12" i="3"/>
  <c r="G12" i="3"/>
  <c r="D14" i="3"/>
  <c r="E14" i="3"/>
  <c r="F14" i="3"/>
  <c r="G14" i="3"/>
  <c r="D4" i="3"/>
  <c r="E4" i="3" s="1"/>
  <c r="F4" i="3" s="1"/>
  <c r="G4" i="3" s="1"/>
  <c r="V19" i="2"/>
  <c r="D14" i="2"/>
  <c r="E14" i="2"/>
  <c r="F14" i="2"/>
  <c r="G14" i="2"/>
  <c r="H14" i="2"/>
  <c r="I14" i="2"/>
  <c r="C14" i="2"/>
  <c r="I13" i="4" l="1"/>
  <c r="C4" i="4"/>
  <c r="N31" i="2"/>
  <c r="T11" i="2"/>
  <c r="T15" i="2"/>
  <c r="T13" i="2"/>
  <c r="G15" i="4" l="1"/>
  <c r="H10" i="4" s="1"/>
  <c r="T19" i="2"/>
  <c r="G17" i="4" l="1"/>
  <c r="K11" i="4"/>
  <c r="H12" i="4"/>
  <c r="H11" i="4"/>
  <c r="K10" i="4" l="1"/>
  <c r="C8" i="3" s="1"/>
  <c r="C10" i="3" s="1"/>
  <c r="C18" i="3" s="1"/>
  <c r="D8" i="3" l="1"/>
  <c r="D10" i="3" l="1"/>
  <c r="D18" i="3" s="1"/>
  <c r="E8" i="3"/>
  <c r="F8" i="3" l="1"/>
  <c r="E10" i="3"/>
  <c r="E18" i="3" s="1"/>
  <c r="F10" i="3" l="1"/>
  <c r="F18" i="3" s="1"/>
  <c r="G8" i="3"/>
  <c r="G10" i="3" s="1"/>
  <c r="G18" i="3" s="1"/>
</calcChain>
</file>

<file path=xl/sharedStrings.xml><?xml version="1.0" encoding="utf-8"?>
<sst xmlns="http://schemas.openxmlformats.org/spreadsheetml/2006/main" count="68" uniqueCount="60">
  <si>
    <t>Coberturas</t>
  </si>
  <si>
    <t>Vigencia</t>
  </si>
  <si>
    <t>Producto de Mascotas</t>
  </si>
  <si>
    <t>Producto Indemnizatorio</t>
  </si>
  <si>
    <t>Anual por definir</t>
  </si>
  <si>
    <t>¿A quén va dirigido?</t>
  </si>
  <si>
    <t>Básica: Fallecimiento de la mascota.</t>
  </si>
  <si>
    <t>Consideraciones Especiales</t>
  </si>
  <si>
    <t>Personas con mascotas en la zona de Tegucigalpa.</t>
  </si>
  <si>
    <t>Estádistica</t>
  </si>
  <si>
    <t>Fuente: Asociación veterinaria de San Pedro Sula, Honduras 2021</t>
  </si>
  <si>
    <t>Población (lx)</t>
  </si>
  <si>
    <t>Muertes (dx)</t>
  </si>
  <si>
    <t>qx</t>
  </si>
  <si>
    <t>¿Qué notan de la estadística?</t>
  </si>
  <si>
    <t>¿Cuál es la probabilidad de muerte?</t>
  </si>
  <si>
    <t>¿Qué método de tarificación voy a usar?</t>
  </si>
  <si>
    <t>Método 1: Ley de los grandes números - Aproximación a una distribución normal</t>
  </si>
  <si>
    <t>Desviación Estándar</t>
  </si>
  <si>
    <t>Promedio qx</t>
  </si>
  <si>
    <t>No de Datos</t>
  </si>
  <si>
    <t>La población y las muertes aumentaron en 2020. Presenta un comportamiento creciente.</t>
  </si>
  <si>
    <t>Probabilidad</t>
  </si>
  <si>
    <t>qx Esperada</t>
  </si>
  <si>
    <t>Método 2: Percentil</t>
  </si>
  <si>
    <t>Percentil</t>
  </si>
  <si>
    <t>Método 3: Forecast</t>
  </si>
  <si>
    <t>Personas</t>
  </si>
  <si>
    <t>Año 1</t>
  </si>
  <si>
    <t>Año 2</t>
  </si>
  <si>
    <t>Año 3</t>
  </si>
  <si>
    <t>Año 4</t>
  </si>
  <si>
    <t>Año 5</t>
  </si>
  <si>
    <t>SA</t>
  </si>
  <si>
    <t>Prima Tarifa</t>
  </si>
  <si>
    <t>Gastos Adjuntos</t>
  </si>
  <si>
    <t>Veterinario</t>
  </si>
  <si>
    <t>Balance</t>
  </si>
  <si>
    <t>Prima Esperada</t>
  </si>
  <si>
    <t>Luz / Agua</t>
  </si>
  <si>
    <t>Margen Utilidad</t>
  </si>
  <si>
    <t>Gastos</t>
  </si>
  <si>
    <t>Utilidad</t>
  </si>
  <si>
    <t>Primas</t>
  </si>
  <si>
    <t>Siniestros</t>
  </si>
  <si>
    <t>No de Sx</t>
  </si>
  <si>
    <t>Cálculo Prima Tarifa</t>
  </si>
  <si>
    <t>Personas Proyectadas</t>
  </si>
  <si>
    <t>Canal: Digital</t>
  </si>
  <si>
    <t>USD</t>
  </si>
  <si>
    <t>2. Personas con perros y gatos con pedigree</t>
  </si>
  <si>
    <t>1. Venta masiva en centros veterinarios con membresías</t>
  </si>
  <si>
    <t>3. Solicitud seguro</t>
  </si>
  <si>
    <t>1.1 Tieen pedrigree el perro?</t>
  </si>
  <si>
    <t>1.2 Cuanto tiempo has estado con tu mascota?</t>
  </si>
  <si>
    <t>1.3 Edad de la mascota?</t>
  </si>
  <si>
    <t>1.4 Historial clínico</t>
  </si>
  <si>
    <t>Me responde que tiene menos 1 de año con su mascota no le doy seguro.</t>
  </si>
  <si>
    <t>Que la mascota tenga arriba de 1 año de edad</t>
  </si>
  <si>
    <t>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</si>
</sst>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3"/>
    <xf numFmtId="0" fontId="5" fillId="0" borderId="1" xfId="3" applyFont="1"/>
    <xf numFmtId="0" fontId="3" fillId="0" borderId="2" xfId="4"/>
    <xf numFmtId="0" fontId="3" fillId="0" borderId="0" xfId="5"/>
    <xf numFmtId="0" fontId="6" fillId="0" borderId="2" xfId="4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3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2" borderId="0" xfId="0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8" fillId="0" borderId="0" xfId="5" applyFont="1"/>
    <xf numFmtId="10" fontId="0" fillId="0" borderId="0" xfId="0" applyNumberFormat="1"/>
    <xf numFmtId="9" fontId="0" fillId="0" borderId="0" xfId="0" applyNumberFormat="1"/>
    <xf numFmtId="0" fontId="4" fillId="2" borderId="0" xfId="0" applyFont="1" applyFill="1"/>
    <xf numFmtId="43" fontId="0" fillId="0" borderId="0" xfId="0" applyNumberFormat="1"/>
    <xf numFmtId="9" fontId="0" fillId="0" borderId="0" xfId="2" applyFont="1" applyAlignment="1">
      <alignment horizontal="center"/>
    </xf>
    <xf numFmtId="0" fontId="4" fillId="0" borderId="3" xfId="0" applyFont="1" applyBorder="1" applyAlignment="1">
      <alignment horizontal="center"/>
    </xf>
    <xf numFmtId="9" fontId="0" fillId="0" borderId="0" xfId="0" applyNumberFormat="1" applyAlignment="1">
      <alignment horizontal="center"/>
    </xf>
  </cellXfs>
  <cellStyles count="6">
    <cellStyle name="Comma" xfId="1" builtinId="3"/>
    <cellStyle name="Heading 1" xfId="3" builtinId="16"/>
    <cellStyle name="Heading 3" xfId="4" builtinId="18"/>
    <cellStyle name="Heading 4" xfId="5" builtinId="1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Evolución</a:t>
            </a:r>
            <a:r>
              <a:rPr lang="es-MX" baseline="0"/>
              <a:t> qx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Estadística!$C$8:$I$8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Estadística!$C$14:$I$14</c:f>
              <c:numCache>
                <c:formatCode>0.000</c:formatCode>
                <c:ptCount val="7"/>
                <c:pt idx="0">
                  <c:v>1.6</c:v>
                </c:pt>
                <c:pt idx="1">
                  <c:v>1.603</c:v>
                </c:pt>
                <c:pt idx="2">
                  <c:v>1.83</c:v>
                </c:pt>
                <c:pt idx="3">
                  <c:v>2.2730000000000001</c:v>
                </c:pt>
                <c:pt idx="4">
                  <c:v>2.8359999999999999</c:v>
                </c:pt>
                <c:pt idx="5">
                  <c:v>3.323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F-41A7-9C97-C55FC143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201016"/>
        <c:axId val="730271504"/>
      </c:lineChart>
      <c:catAx>
        <c:axId val="95120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30271504"/>
        <c:crosses val="autoZero"/>
        <c:auto val="1"/>
        <c:lblAlgn val="ctr"/>
        <c:lblOffset val="100"/>
        <c:noMultiLvlLbl val="0"/>
      </c:catAx>
      <c:valAx>
        <c:axId val="73027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120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27</xdr:row>
      <xdr:rowOff>7255</xdr:rowOff>
    </xdr:from>
    <xdr:to>
      <xdr:col>18</xdr:col>
      <xdr:colOff>325755</xdr:colOff>
      <xdr:row>33</xdr:row>
      <xdr:rowOff>151348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3652C4-A001-9D75-90B5-31F27576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7512955"/>
          <a:ext cx="2162175" cy="1229943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9</xdr:row>
      <xdr:rowOff>24765</xdr:rowOff>
    </xdr:from>
    <xdr:to>
      <xdr:col>17</xdr:col>
      <xdr:colOff>545031</xdr:colOff>
      <xdr:row>21</xdr:row>
      <xdr:rowOff>131445</xdr:rowOff>
    </xdr:to>
    <xdr:pic>
      <xdr:nvPicPr>
        <xdr:cNvPr id="2" name="Picture 1" descr="Distribución normal: Qué es, cómo se calcula y ejemplos">
          <a:extLst>
            <a:ext uri="{FF2B5EF4-FFF2-40B4-BE49-F238E27FC236}">
              <a16:creationId xmlns:a16="http://schemas.microsoft.com/office/drawing/2014/main" id="{18BC92D0-8756-56D5-53DC-2A2EFFF9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549015"/>
          <a:ext cx="3577791" cy="229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607694</xdr:colOff>
      <xdr:row>7</xdr:row>
      <xdr:rowOff>170813</xdr:rowOff>
    </xdr:from>
    <xdr:to>
      <xdr:col>25</xdr:col>
      <xdr:colOff>93344</xdr:colOff>
      <xdr:row>14</xdr:row>
      <xdr:rowOff>175259</xdr:rowOff>
    </xdr:to>
    <xdr:pic>
      <xdr:nvPicPr>
        <xdr:cNvPr id="3" name="Picture 2" descr="Confidence Interval - Definition, Calculation">
          <a:extLst>
            <a:ext uri="{FF2B5EF4-FFF2-40B4-BE49-F238E27FC236}">
              <a16:creationId xmlns:a16="http://schemas.microsoft.com/office/drawing/2014/main" id="{836C5C02-EF20-B7B5-5AEE-DC1FBD3B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7569" y="4057013"/>
          <a:ext cx="2526030" cy="126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578167</xdr:colOff>
      <xdr:row>40</xdr:row>
      <xdr:rowOff>178117</xdr:rowOff>
    </xdr:from>
    <xdr:to>
      <xdr:col>18</xdr:col>
      <xdr:colOff>368617</xdr:colOff>
      <xdr:row>56</xdr:row>
      <xdr:rowOff>21907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32D65B-9B39-9294-0282-B5FA208DE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25</xdr:col>
      <xdr:colOff>505104</xdr:colOff>
      <xdr:row>6</xdr:row>
      <xdr:rowOff>104774</xdr:rowOff>
    </xdr:from>
    <xdr:to>
      <xdr:col>33</xdr:col>
      <xdr:colOff>399045</xdr:colOff>
      <xdr:row>22</xdr:row>
      <xdr:rowOff>168926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DA8301-F921-AB9F-079A-1EF7B480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2979" y="3809999"/>
          <a:ext cx="4789791" cy="2954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892A-733B-46A0-85A8-E14749167024}">
  <dimension ref="B3:G31"/>
  <sheetViews>
    <sheetView topLeftCell="A11" zoomScale="151" workbookViewId="0">
      <selection activeCell="G31" sqref="G31"/>
    </sheetView>
  </sheetViews>
  <sheetFormatPr defaultRowHeight="14.4" outlineLevelRow="1" x14ac:dyDescent="0.3"/>
  <sheetData>
    <row r="3" spans="2:2" ht="26.4" thickBot="1" x14ac:dyDescent="0.55000000000000004">
      <c r="B3" s="2" t="s">
        <v>2</v>
      </c>
    </row>
    <row r="4" spans="2:2" ht="15" thickTop="1" x14ac:dyDescent="0.3"/>
    <row r="5" spans="2:2" ht="16.2" thickBot="1" x14ac:dyDescent="0.35">
      <c r="B5" s="5" t="s">
        <v>3</v>
      </c>
    </row>
    <row r="7" spans="2:2" x14ac:dyDescent="0.3">
      <c r="B7" s="4" t="s">
        <v>5</v>
      </c>
    </row>
    <row r="8" spans="2:2" outlineLevel="1" x14ac:dyDescent="0.3"/>
    <row r="9" spans="2:2" outlineLevel="1" x14ac:dyDescent="0.3">
      <c r="B9" t="s">
        <v>8</v>
      </c>
    </row>
    <row r="10" spans="2:2" outlineLevel="1" x14ac:dyDescent="0.3"/>
    <row r="11" spans="2:2" outlineLevel="1" x14ac:dyDescent="0.3">
      <c r="B11" t="s">
        <v>48</v>
      </c>
    </row>
    <row r="13" spans="2:2" x14ac:dyDescent="0.3">
      <c r="B13" s="4" t="s">
        <v>0</v>
      </c>
    </row>
    <row r="14" spans="2:2" outlineLevel="1" x14ac:dyDescent="0.3"/>
    <row r="15" spans="2:2" outlineLevel="1" x14ac:dyDescent="0.3">
      <c r="B15" t="s">
        <v>6</v>
      </c>
    </row>
    <row r="16" spans="2:2" outlineLevel="1" x14ac:dyDescent="0.3"/>
    <row r="17" spans="2:7" outlineLevel="1" x14ac:dyDescent="0.3">
      <c r="B17" t="s">
        <v>33</v>
      </c>
      <c r="C17" s="10">
        <v>1000</v>
      </c>
      <c r="D17" t="s">
        <v>49</v>
      </c>
    </row>
    <row r="19" spans="2:7" x14ac:dyDescent="0.3">
      <c r="B19" s="4" t="s">
        <v>1</v>
      </c>
    </row>
    <row r="20" spans="2:7" outlineLevel="1" x14ac:dyDescent="0.3"/>
    <row r="21" spans="2:7" outlineLevel="1" x14ac:dyDescent="0.3">
      <c r="B21" t="s">
        <v>4</v>
      </c>
    </row>
    <row r="23" spans="2:7" x14ac:dyDescent="0.3">
      <c r="B23" s="4" t="s">
        <v>7</v>
      </c>
    </row>
    <row r="25" spans="2:7" x14ac:dyDescent="0.3">
      <c r="B25" t="s">
        <v>51</v>
      </c>
    </row>
    <row r="26" spans="2:7" x14ac:dyDescent="0.3">
      <c r="B26" t="s">
        <v>50</v>
      </c>
    </row>
    <row r="27" spans="2:7" x14ac:dyDescent="0.3">
      <c r="B27" t="s">
        <v>52</v>
      </c>
    </row>
    <row r="28" spans="2:7" x14ac:dyDescent="0.3">
      <c r="B28" t="s">
        <v>53</v>
      </c>
    </row>
    <row r="29" spans="2:7" x14ac:dyDescent="0.3">
      <c r="B29" t="s">
        <v>54</v>
      </c>
      <c r="G29" t="s">
        <v>57</v>
      </c>
    </row>
    <row r="30" spans="2:7" x14ac:dyDescent="0.3">
      <c r="B30" t="s">
        <v>55</v>
      </c>
      <c r="G30" t="s">
        <v>58</v>
      </c>
    </row>
    <row r="31" spans="2:7" x14ac:dyDescent="0.3">
      <c r="B31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39E0-C406-4E4C-9D94-B252C3C3141E}">
  <dimension ref="B4:V71"/>
  <sheetViews>
    <sheetView topLeftCell="B4" zoomScale="117" workbookViewId="0">
      <selection activeCell="K47" sqref="K47"/>
    </sheetView>
  </sheetViews>
  <sheetFormatPr defaultRowHeight="14.4" outlineLevelRow="1" x14ac:dyDescent="0.3"/>
  <cols>
    <col min="2" max="2" width="16.33203125" customWidth="1"/>
    <col min="8" max="8" width="17.88671875" customWidth="1"/>
    <col min="11" max="35" width="8.88671875" customWidth="1"/>
  </cols>
  <sheetData>
    <row r="4" spans="2:20" ht="20.399999999999999" thickBot="1" x14ac:dyDescent="0.45">
      <c r="B4" s="1" t="s">
        <v>9</v>
      </c>
    </row>
    <row r="5" spans="2:20" ht="15" thickTop="1" x14ac:dyDescent="0.3">
      <c r="B5" s="6" t="s">
        <v>10</v>
      </c>
    </row>
    <row r="6" spans="2:20" x14ac:dyDescent="0.3">
      <c r="M6" s="4" t="s">
        <v>16</v>
      </c>
    </row>
    <row r="8" spans="2:20" x14ac:dyDescent="0.3">
      <c r="C8" s="8">
        <v>2017</v>
      </c>
      <c r="D8" s="8">
        <v>2018</v>
      </c>
      <c r="E8" s="8">
        <v>2019</v>
      </c>
      <c r="F8" s="8">
        <v>2020</v>
      </c>
      <c r="G8" s="8">
        <v>2021</v>
      </c>
      <c r="H8" s="8">
        <v>2022</v>
      </c>
      <c r="I8" s="8">
        <v>2023</v>
      </c>
      <c r="M8" s="16" t="s">
        <v>17</v>
      </c>
    </row>
    <row r="9" spans="2:20" x14ac:dyDescent="0.3">
      <c r="B9" t="s">
        <v>12</v>
      </c>
      <c r="C9" s="12">
        <v>80</v>
      </c>
      <c r="D9" s="12">
        <v>84</v>
      </c>
      <c r="E9" s="12">
        <v>95</v>
      </c>
      <c r="F9" s="12">
        <v>125</v>
      </c>
      <c r="G9" s="12">
        <v>190</v>
      </c>
      <c r="H9" s="12">
        <v>223</v>
      </c>
      <c r="I9" s="12">
        <v>240</v>
      </c>
    </row>
    <row r="10" spans="2:20" x14ac:dyDescent="0.3">
      <c r="B10" t="s">
        <v>11</v>
      </c>
      <c r="C10" s="11">
        <v>50000</v>
      </c>
      <c r="D10" s="11">
        <v>52400</v>
      </c>
      <c r="E10" s="11">
        <v>51920</v>
      </c>
      <c r="F10" s="11">
        <v>55000</v>
      </c>
      <c r="G10" s="11">
        <v>67000</v>
      </c>
      <c r="H10" s="11">
        <v>67112</v>
      </c>
      <c r="I10" s="11">
        <v>65394</v>
      </c>
    </row>
    <row r="11" spans="2:20" x14ac:dyDescent="0.3">
      <c r="C11" s="11"/>
      <c r="D11" s="11"/>
      <c r="E11" s="11"/>
      <c r="F11" s="11"/>
      <c r="G11" s="11"/>
      <c r="H11" s="11"/>
      <c r="I11" s="11"/>
      <c r="S11" t="s">
        <v>19</v>
      </c>
      <c r="T11" s="13">
        <f>+AVERAGE(C14:I14)</f>
        <v>2.447857142857143</v>
      </c>
    </row>
    <row r="12" spans="2:20" x14ac:dyDescent="0.3">
      <c r="B12" s="4" t="s">
        <v>15</v>
      </c>
      <c r="C12" s="11"/>
      <c r="D12" s="11"/>
      <c r="E12" s="11"/>
      <c r="F12" s="11"/>
      <c r="G12" s="11"/>
      <c r="H12" s="11"/>
      <c r="I12" s="11"/>
    </row>
    <row r="13" spans="2:20" outlineLevel="1" x14ac:dyDescent="0.3">
      <c r="S13" t="s">
        <v>18</v>
      </c>
      <c r="T13">
        <f>+STDEV(C14:I14)</f>
        <v>0.84213328885068672</v>
      </c>
    </row>
    <row r="14" spans="2:20" outlineLevel="1" x14ac:dyDescent="0.3">
      <c r="B14" s="14" t="s">
        <v>13</v>
      </c>
      <c r="C14" s="15">
        <f>+ROUND(C9/C10*1000,3)</f>
        <v>1.6</v>
      </c>
      <c r="D14" s="15">
        <f t="shared" ref="D14:I14" si="0">+ROUND(D9/D10*1000,3)</f>
        <v>1.603</v>
      </c>
      <c r="E14" s="15">
        <f t="shared" si="0"/>
        <v>1.83</v>
      </c>
      <c r="F14" s="15">
        <f t="shared" si="0"/>
        <v>2.2730000000000001</v>
      </c>
      <c r="G14" s="15">
        <f t="shared" si="0"/>
        <v>2.8359999999999999</v>
      </c>
      <c r="H14" s="15">
        <f t="shared" si="0"/>
        <v>3.323</v>
      </c>
      <c r="I14" s="15">
        <f t="shared" si="0"/>
        <v>3.67</v>
      </c>
    </row>
    <row r="15" spans="2:20" x14ac:dyDescent="0.3">
      <c r="S15" t="s">
        <v>20</v>
      </c>
      <c r="T15">
        <f>+COUNT(C14:I14)</f>
        <v>7</v>
      </c>
    </row>
    <row r="16" spans="2:20" x14ac:dyDescent="0.3">
      <c r="B16" s="4" t="s">
        <v>14</v>
      </c>
    </row>
    <row r="17" spans="2:22" outlineLevel="1" x14ac:dyDescent="0.3">
      <c r="S17" t="s">
        <v>22</v>
      </c>
      <c r="T17" s="17">
        <v>0.95</v>
      </c>
    </row>
    <row r="18" spans="2:22" outlineLevel="1" x14ac:dyDescent="0.3">
      <c r="B18" t="s">
        <v>21</v>
      </c>
    </row>
    <row r="19" spans="2:22" x14ac:dyDescent="0.3">
      <c r="S19" s="19" t="s">
        <v>23</v>
      </c>
      <c r="T19" s="19">
        <f>+T11+_xlfn.NORM.INV(T17,0,1)*T13/SQRT(T15)</f>
        <v>2.9714082373042077</v>
      </c>
      <c r="V19">
        <f>+_xlfn.NORM.INV(T17,0,1)</f>
        <v>1.6448536269514715</v>
      </c>
    </row>
    <row r="27" spans="2:22" x14ac:dyDescent="0.3">
      <c r="M27" s="16" t="s">
        <v>24</v>
      </c>
    </row>
    <row r="29" spans="2:22" x14ac:dyDescent="0.3">
      <c r="M29" t="s">
        <v>25</v>
      </c>
      <c r="N29" s="18">
        <v>0.9</v>
      </c>
    </row>
    <row r="31" spans="2:22" x14ac:dyDescent="0.3">
      <c r="M31" s="19" t="s">
        <v>23</v>
      </c>
      <c r="N31" s="19">
        <f>+PERCENTILE(C14:I14,N29)</f>
        <v>3.4618000000000002</v>
      </c>
    </row>
    <row r="38" spans="13:14" x14ac:dyDescent="0.3">
      <c r="M38" s="16" t="s">
        <v>26</v>
      </c>
    </row>
    <row r="40" spans="13:14" x14ac:dyDescent="0.3">
      <c r="M40" s="19" t="s">
        <v>23</v>
      </c>
      <c r="N40" s="19">
        <f>+FORECAST(2024,C14:I14,C8:I8)</f>
        <v>3.9701428571428323</v>
      </c>
    </row>
    <row r="53" outlineLevel="1" x14ac:dyDescent="0.3"/>
    <row r="54" outlineLevel="1" x14ac:dyDescent="0.3"/>
    <row r="55" outlineLevel="1" x14ac:dyDescent="0.3"/>
    <row r="56" outlineLevel="1" x14ac:dyDescent="0.3"/>
    <row r="57" outlineLevel="1" x14ac:dyDescent="0.3"/>
    <row r="58" outlineLevel="1" x14ac:dyDescent="0.3"/>
    <row r="59" outlineLevel="1" x14ac:dyDescent="0.3"/>
    <row r="60" outlineLevel="1" x14ac:dyDescent="0.3"/>
    <row r="61" outlineLevel="1" x14ac:dyDescent="0.3"/>
    <row r="62" outlineLevel="1" x14ac:dyDescent="0.3"/>
    <row r="63" outlineLevel="1" x14ac:dyDescent="0.3"/>
    <row r="64" outlineLevel="1" x14ac:dyDescent="0.3"/>
    <row r="65" outlineLevel="1" x14ac:dyDescent="0.3"/>
    <row r="66" outlineLevel="1" x14ac:dyDescent="0.3"/>
    <row r="67" outlineLevel="1" x14ac:dyDescent="0.3"/>
    <row r="68" outlineLevel="1" x14ac:dyDescent="0.3"/>
    <row r="69" outlineLevel="1" x14ac:dyDescent="0.3"/>
    <row r="70" outlineLevel="1" x14ac:dyDescent="0.3"/>
    <row r="71" outlineLevel="1" x14ac:dyDescent="0.3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2E5-F36C-43BE-8E78-D34FAC6768D0}">
  <dimension ref="B2:I18"/>
  <sheetViews>
    <sheetView tabSelected="1" workbookViewId="0">
      <selection activeCell="I12" sqref="I12"/>
    </sheetView>
  </sheetViews>
  <sheetFormatPr defaultRowHeight="14.4" x14ac:dyDescent="0.3"/>
  <cols>
    <col min="2" max="2" width="11.21875" bestFit="1" customWidth="1"/>
    <col min="3" max="7" width="11.33203125" bestFit="1" customWidth="1"/>
  </cols>
  <sheetData>
    <row r="2" spans="2:9" x14ac:dyDescent="0.3">
      <c r="D2" s="23">
        <v>0.05</v>
      </c>
      <c r="E2" s="23">
        <v>0.05</v>
      </c>
      <c r="F2" s="23">
        <v>0.05</v>
      </c>
      <c r="G2" s="23">
        <v>0.05</v>
      </c>
    </row>
    <row r="3" spans="2:9" ht="15" thickBot="1" x14ac:dyDescent="0.35">
      <c r="C3" s="22" t="s">
        <v>28</v>
      </c>
      <c r="D3" s="22" t="s">
        <v>29</v>
      </c>
      <c r="E3" s="22" t="s">
        <v>30</v>
      </c>
      <c r="F3" s="22" t="s">
        <v>31</v>
      </c>
      <c r="G3" s="22" t="s">
        <v>32</v>
      </c>
    </row>
    <row r="4" spans="2:9" x14ac:dyDescent="0.3">
      <c r="B4" s="7" t="s">
        <v>27</v>
      </c>
      <c r="C4" s="9">
        <v>10000</v>
      </c>
      <c r="D4" s="9">
        <f>+C4*(1+D2)</f>
        <v>10500</v>
      </c>
      <c r="E4" s="9">
        <f t="shared" ref="E4:G4" si="0">+D4*(1+E2)</f>
        <v>11025</v>
      </c>
      <c r="F4" s="9">
        <f t="shared" si="0"/>
        <v>11576.25</v>
      </c>
      <c r="G4" s="9">
        <f t="shared" si="0"/>
        <v>12155.0625</v>
      </c>
    </row>
    <row r="5" spans="2:9" x14ac:dyDescent="0.3">
      <c r="B5" s="7"/>
    </row>
    <row r="6" spans="2:9" x14ac:dyDescent="0.3">
      <c r="B6" s="7" t="s">
        <v>33</v>
      </c>
      <c r="C6" s="10">
        <f>+Generalidades!C17</f>
        <v>1000</v>
      </c>
      <c r="D6">
        <v>1000</v>
      </c>
      <c r="E6">
        <v>1000</v>
      </c>
      <c r="F6">
        <v>1000</v>
      </c>
      <c r="G6">
        <v>1000</v>
      </c>
    </row>
    <row r="7" spans="2:9" x14ac:dyDescent="0.3">
      <c r="B7" s="7"/>
    </row>
    <row r="8" spans="2:9" x14ac:dyDescent="0.3">
      <c r="B8" s="7" t="s">
        <v>34</v>
      </c>
      <c r="C8" s="20">
        <f>+'Prima Tarifa'!O4</f>
        <v>7.789804718814386</v>
      </c>
      <c r="D8">
        <f>+C8</f>
        <v>7.789804718814386</v>
      </c>
      <c r="E8">
        <f>+D8</f>
        <v>7.789804718814386</v>
      </c>
      <c r="F8">
        <f>+E8</f>
        <v>7.789804718814386</v>
      </c>
      <c r="G8">
        <f>+F8</f>
        <v>7.789804718814386</v>
      </c>
    </row>
    <row r="9" spans="2:9" x14ac:dyDescent="0.3">
      <c r="B9" s="7"/>
    </row>
    <row r="10" spans="2:9" x14ac:dyDescent="0.3">
      <c r="B10" s="7" t="s">
        <v>43</v>
      </c>
      <c r="C10" s="20">
        <f>+C8*C4*C6/1000</f>
        <v>77898.047188143857</v>
      </c>
      <c r="D10" s="20">
        <f t="shared" ref="D10:G10" si="1">+D8*D4*D6/1000</f>
        <v>81792.949547551048</v>
      </c>
      <c r="E10" s="20">
        <f t="shared" si="1"/>
        <v>85882.597024928604</v>
      </c>
      <c r="F10" s="20">
        <f t="shared" si="1"/>
        <v>90176.726876175031</v>
      </c>
      <c r="G10" s="20">
        <f t="shared" si="1"/>
        <v>94685.563219983786</v>
      </c>
    </row>
    <row r="11" spans="2:9" x14ac:dyDescent="0.3">
      <c r="B11" s="7"/>
    </row>
    <row r="12" spans="2:9" x14ac:dyDescent="0.3">
      <c r="B12" s="7" t="s">
        <v>45</v>
      </c>
      <c r="C12">
        <v>20</v>
      </c>
      <c r="D12">
        <f>+C12*(1+D2)</f>
        <v>21</v>
      </c>
      <c r="E12">
        <f t="shared" ref="E12:G12" si="2">+D12*(1+E2)</f>
        <v>22.05</v>
      </c>
      <c r="F12">
        <f t="shared" si="2"/>
        <v>23.152500000000003</v>
      </c>
      <c r="G12">
        <f t="shared" si="2"/>
        <v>24.310125000000003</v>
      </c>
      <c r="I12" s="20">
        <f>+C12/C4*1000</f>
        <v>2</v>
      </c>
    </row>
    <row r="13" spans="2:9" x14ac:dyDescent="0.3">
      <c r="B13" s="7"/>
    </row>
    <row r="14" spans="2:9" x14ac:dyDescent="0.3">
      <c r="B14" s="7" t="s">
        <v>44</v>
      </c>
      <c r="C14" s="9">
        <f>C12*C6*1.5</f>
        <v>30000</v>
      </c>
      <c r="D14" s="9">
        <f t="shared" ref="D14:G14" si="3">D12*D6*1.5</f>
        <v>31500</v>
      </c>
      <c r="E14" s="9">
        <f t="shared" si="3"/>
        <v>33075</v>
      </c>
      <c r="F14" s="9">
        <f t="shared" si="3"/>
        <v>34728.750000000007</v>
      </c>
      <c r="G14" s="9">
        <f t="shared" si="3"/>
        <v>36465.187500000007</v>
      </c>
    </row>
    <row r="15" spans="2:9" x14ac:dyDescent="0.3">
      <c r="B15" s="7"/>
    </row>
    <row r="16" spans="2:9" x14ac:dyDescent="0.3">
      <c r="B16" s="7" t="s">
        <v>41</v>
      </c>
      <c r="C16" s="20">
        <f>+SUM('Prima Tarifa'!G11:G14)*0.7</f>
        <v>32442.349999999853</v>
      </c>
      <c r="D16" s="20">
        <f>+C16*1.07</f>
        <v>34713.314499999848</v>
      </c>
      <c r="E16" s="20">
        <f t="shared" ref="E16:G16" si="4">+D16*1.07</f>
        <v>37143.246514999839</v>
      </c>
      <c r="F16" s="20">
        <f t="shared" si="4"/>
        <v>39743.273771049833</v>
      </c>
      <c r="G16" s="20">
        <f t="shared" si="4"/>
        <v>42525.302935023326</v>
      </c>
    </row>
    <row r="17" spans="2:7" x14ac:dyDescent="0.3">
      <c r="B17" s="7"/>
    </row>
    <row r="18" spans="2:7" x14ac:dyDescent="0.3">
      <c r="B18" s="7" t="s">
        <v>42</v>
      </c>
      <c r="C18" s="20">
        <f>+C10-C14-C16</f>
        <v>15455.697188144004</v>
      </c>
      <c r="D18" s="20">
        <f t="shared" ref="D18:G18" si="5">+D10-D14-D16</f>
        <v>15579.635047551201</v>
      </c>
      <c r="E18" s="20">
        <f t="shared" si="5"/>
        <v>15664.350509928765</v>
      </c>
      <c r="F18" s="20">
        <f t="shared" si="5"/>
        <v>15704.703105125191</v>
      </c>
      <c r="G18" s="20">
        <f t="shared" si="5"/>
        <v>15695.072784960452</v>
      </c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4137-6ED9-48E3-8394-C852A2E03A1C}">
  <dimension ref="B2:O17"/>
  <sheetViews>
    <sheetView workbookViewId="0">
      <selection activeCell="O6" sqref="O6"/>
    </sheetView>
  </sheetViews>
  <sheetFormatPr defaultRowHeight="14.4" x14ac:dyDescent="0.3"/>
  <cols>
    <col min="2" max="2" width="13.33203125" customWidth="1"/>
    <col min="4" max="4" width="10.33203125" bestFit="1" customWidth="1"/>
    <col min="6" max="6" width="22.109375" customWidth="1"/>
    <col min="7" max="7" width="11.33203125" bestFit="1" customWidth="1"/>
    <col min="9" max="9" width="10.33203125" bestFit="1" customWidth="1"/>
  </cols>
  <sheetData>
    <row r="2" spans="2:15" ht="20.399999999999999" thickBot="1" x14ac:dyDescent="0.45">
      <c r="B2" s="1" t="s">
        <v>46</v>
      </c>
    </row>
    <row r="3" spans="2:15" ht="15" thickTop="1" x14ac:dyDescent="0.3"/>
    <row r="4" spans="2:15" x14ac:dyDescent="0.3">
      <c r="B4" s="19" t="s">
        <v>23</v>
      </c>
      <c r="C4" s="19">
        <f>+Estadística!N40</f>
        <v>3.9701428571428323</v>
      </c>
      <c r="F4" t="s">
        <v>37</v>
      </c>
      <c r="M4" t="s">
        <v>34</v>
      </c>
      <c r="O4" s="20">
        <f>+C4/(1-K10-K11)</f>
        <v>7.789804718814386</v>
      </c>
    </row>
    <row r="5" spans="2:15" x14ac:dyDescent="0.3">
      <c r="D5" s="9"/>
    </row>
    <row r="6" spans="2:15" ht="15" thickBot="1" x14ac:dyDescent="0.35">
      <c r="B6" s="3" t="s">
        <v>35</v>
      </c>
      <c r="F6" t="s">
        <v>47</v>
      </c>
      <c r="G6">
        <v>5000</v>
      </c>
      <c r="O6">
        <f>+O4*G8/1000</f>
        <v>7.789804718814386</v>
      </c>
    </row>
    <row r="8" spans="2:15" x14ac:dyDescent="0.3">
      <c r="B8" t="s">
        <v>36</v>
      </c>
      <c r="C8">
        <v>1000</v>
      </c>
      <c r="F8" t="s">
        <v>33</v>
      </c>
      <c r="G8" s="10">
        <f>+Generalidades!C17</f>
        <v>1000</v>
      </c>
    </row>
    <row r="9" spans="2:15" x14ac:dyDescent="0.3">
      <c r="B9" t="s">
        <v>39</v>
      </c>
      <c r="C9">
        <v>50</v>
      </c>
    </row>
    <row r="10" spans="2:15" x14ac:dyDescent="0.3">
      <c r="B10" t="s">
        <v>59</v>
      </c>
      <c r="C10" s="18"/>
      <c r="D10" s="18">
        <v>0.2</v>
      </c>
      <c r="F10" t="s">
        <v>38</v>
      </c>
      <c r="G10" s="9">
        <f>+C4*G8/1000*G6</f>
        <v>19850.714285714163</v>
      </c>
      <c r="H10" s="21">
        <f t="shared" ref="H10:H13" si="0">+G10/$G$15</f>
        <v>0.29987364541082473</v>
      </c>
      <c r="J10" t="s">
        <v>41</v>
      </c>
      <c r="K10" s="18">
        <f>+SUM(H11:H13)</f>
        <v>0.39034115739077335</v>
      </c>
    </row>
    <row r="11" spans="2:15" x14ac:dyDescent="0.3">
      <c r="B11" t="s">
        <v>40</v>
      </c>
      <c r="C11" s="18"/>
      <c r="D11" s="18">
        <v>0.1</v>
      </c>
      <c r="F11" t="str">
        <f>+B8</f>
        <v>Veterinario</v>
      </c>
      <c r="G11" s="9">
        <f>+C8*12</f>
        <v>12000</v>
      </c>
      <c r="H11" s="21">
        <f t="shared" si="0"/>
        <v>0.18127729275311744</v>
      </c>
      <c r="J11" t="s">
        <v>42</v>
      </c>
      <c r="K11" s="18">
        <f>+H14</f>
        <v>0.1</v>
      </c>
    </row>
    <row r="12" spans="2:15" x14ac:dyDescent="0.3">
      <c r="F12" t="str">
        <f t="shared" ref="F12:F14" si="1">+B9</f>
        <v>Luz / Agua</v>
      </c>
      <c r="G12" s="9">
        <f>50*12</f>
        <v>600</v>
      </c>
      <c r="H12" s="21">
        <f t="shared" si="0"/>
        <v>9.0638646376558722E-3</v>
      </c>
    </row>
    <row r="13" spans="2:15" x14ac:dyDescent="0.3">
      <c r="F13" t="str">
        <f t="shared" si="1"/>
        <v>Comisión</v>
      </c>
      <c r="G13" s="9">
        <f>+G10*(1-H13)</f>
        <v>15880.571428571331</v>
      </c>
      <c r="H13" s="21">
        <v>0.2</v>
      </c>
      <c r="I13" s="20">
        <f>+G10*0.6</f>
        <v>11910.428571428498</v>
      </c>
    </row>
    <row r="14" spans="2:15" x14ac:dyDescent="0.3">
      <c r="F14" t="str">
        <f t="shared" si="1"/>
        <v>Margen Utilidad</v>
      </c>
      <c r="G14" s="9">
        <f>+G10*(1-H14)</f>
        <v>17865.642857142746</v>
      </c>
      <c r="H14" s="21">
        <v>0.1</v>
      </c>
    </row>
    <row r="15" spans="2:15" x14ac:dyDescent="0.3">
      <c r="G15" s="20">
        <f>SUM(G10:G14)</f>
        <v>66196.92857142823</v>
      </c>
      <c r="H15" s="18">
        <f>SUM(H10:H14)</f>
        <v>0.79021480280159795</v>
      </c>
    </row>
    <row r="17" spans="7:7" x14ac:dyDescent="0.3">
      <c r="G17">
        <f>+G15/10000</f>
        <v>6.6196928571428231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Generalidades</vt:lpstr>
      <vt:lpstr>Estadística</vt:lpstr>
      <vt:lpstr>Proyección de Ventas</vt:lpstr>
      <vt:lpstr>Prima Tarifa</vt:lpstr>
    </vt:vector>
  </TitlesOfParts>
  <Company>hannover 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Urbano</dc:creator>
  <cp:lastModifiedBy>Bryan Urbano</cp:lastModifiedBy>
  <dcterms:created xsi:type="dcterms:W3CDTF">2024-05-08T04:40:45Z</dcterms:created>
  <dcterms:modified xsi:type="dcterms:W3CDTF">2024-05-08T18:54:11Z</dcterms:modified>
</cp:coreProperties>
</file>