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Y:\INFORMACIÓN RENOVACIONES CONTRATOS VIDA\BURNING COST 2025\"/>
    </mc:Choice>
  </mc:AlternateContent>
  <xr:revisionPtr revIDLastSave="0" documentId="13_ncr:1_{678D5066-4091-4FB4-AB78-E8D0065D2698}" xr6:coauthVersionLast="47" xr6:coauthVersionMax="47" xr10:uidLastSave="{00000000-0000-0000-0000-000000000000}"/>
  <bookViews>
    <workbookView xWindow="-108" yWindow="-108" windowWidth="23256" windowHeight="13896" tabRatio="1000" firstSheet="11" activeTab="19" xr2:uid="{00000000-000D-0000-FFFF-FFFF00000000}"/>
  </bookViews>
  <sheets>
    <sheet name="SINIESTROS AÑO 2010" sheetId="5" r:id="rId1"/>
    <sheet name="SINIESTROS AÑO 2011" sheetId="4" r:id="rId2"/>
    <sheet name="SINIESTROS AÑO 2012" sheetId="3" r:id="rId3"/>
    <sheet name="SINIESTROS AÑO 2013" sheetId="1" r:id="rId4"/>
    <sheet name="SINIESTROS AÑO 2014" sheetId="2" r:id="rId5"/>
    <sheet name="SINIESTROS AÑO 2015" sheetId="8" r:id="rId6"/>
    <sheet name="SINIESTROS AÑO 2016" sheetId="9" r:id="rId7"/>
    <sheet name="SINIESTROS AÑO 2017" sheetId="11" r:id="rId8"/>
    <sheet name="SINIESTROS AÑO 2018" sheetId="12" r:id="rId9"/>
    <sheet name="SINIESTROS AÑO 2019" sheetId="13" r:id="rId10"/>
    <sheet name="SINIESTROS 2020" sheetId="15" r:id="rId11"/>
    <sheet name="SINIESTROS 2021" sheetId="16" r:id="rId12"/>
    <sheet name="SINIESTROS 2022" sheetId="17" r:id="rId13"/>
    <sheet name="SINIESTROS 2021 TODOS" sheetId="18" state="hidden" r:id="rId14"/>
    <sheet name="SINIESTROS 2023" sheetId="20" r:id="rId15"/>
    <sheet name="SINIESTROS 2024" sheetId="21" r:id="rId16"/>
    <sheet name="SINIESTROS 2025" sheetId="22" r:id="rId17"/>
    <sheet name="BURNING COST" sheetId="6" r:id="rId18"/>
    <sheet name="IPC" sheetId="7" r:id="rId19"/>
    <sheet name="RESUMEN PMD PAGADAS" sheetId="10" r:id="rId20"/>
    <sheet name="Hoja1" sheetId="14" state="hidden" r:id="rId21"/>
    <sheet name="SIN COBERTURA" sheetId="19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?__RIGHT__INTR">#N/A</definedName>
    <definedName name="__PC90" localSheetId="11">#REF!</definedName>
    <definedName name="__PC90" localSheetId="13">#REF!</definedName>
    <definedName name="__PC90" localSheetId="12">#REF!</definedName>
    <definedName name="__PC90" localSheetId="14">#REF!</definedName>
    <definedName name="__PC90" localSheetId="15">#REF!</definedName>
    <definedName name="__PC90" localSheetId="16">#REF!</definedName>
    <definedName name="__PC90" localSheetId="7">#REF!</definedName>
    <definedName name="__PC90" localSheetId="9">#REF!</definedName>
    <definedName name="__PC90">#REF!</definedName>
    <definedName name="_1___123Graph_ACHART_1" hidden="1">[1]IPC1988!$C$176:$C$182</definedName>
    <definedName name="_10__123Graph_XCHART_2" hidden="1">[1]IPC1988!$A$176:$A$182</definedName>
    <definedName name="_2___123Graph_ACHART_2" hidden="1">[1]IPC1988!$B$176:$B$182</definedName>
    <definedName name="_3___123Graph_BCHART_1" hidden="1">[1]IPC1988!$E$176:$E$182</definedName>
    <definedName name="_4___123Graph_BCHART_2" hidden="1">[1]IPC1988!$D$176:$D$182</definedName>
    <definedName name="_5___123Graph_XCHART_2" hidden="1">[1]IPC1988!$A$176:$A$182</definedName>
    <definedName name="_6__123Graph_ACHART_1" hidden="1">[1]IPC1988!$C$176:$C$182</definedName>
    <definedName name="_7__123Graph_ACHART_2" hidden="1">[1]IPC1988!$B$176:$B$182</definedName>
    <definedName name="_8__123Graph_BCHART_1" hidden="1">[1]IPC1988!$E$176:$E$182</definedName>
    <definedName name="_9__123Graph_BCHART_2" hidden="1">[1]IPC1988!$D$176:$D$182</definedName>
    <definedName name="_90" localSheetId="11">#REF!</definedName>
    <definedName name="_90" localSheetId="13">#REF!</definedName>
    <definedName name="_90" localSheetId="12">#REF!</definedName>
    <definedName name="_90" localSheetId="14">#REF!</definedName>
    <definedName name="_90" localSheetId="15">#REF!</definedName>
    <definedName name="_90" localSheetId="16">#REF!</definedName>
    <definedName name="_90" localSheetId="7">#REF!</definedName>
    <definedName name="_90" localSheetId="9">#REF!</definedName>
    <definedName name="_90">#REF!</definedName>
    <definedName name="_A">#N/A</definedName>
    <definedName name="_Cua13" localSheetId="11">#REF!</definedName>
    <definedName name="_Cua13" localSheetId="13">#REF!</definedName>
    <definedName name="_Cua13" localSheetId="12">#REF!</definedName>
    <definedName name="_Cua13" localSheetId="14">#REF!</definedName>
    <definedName name="_Cua13" localSheetId="15">#REF!</definedName>
    <definedName name="_Cua13" localSheetId="16">#REF!</definedName>
    <definedName name="_Cua13" localSheetId="7">#REF!</definedName>
    <definedName name="_Cua13" localSheetId="9">#REF!</definedName>
    <definedName name="_Cua13">#REF!</definedName>
    <definedName name="_Cua15" localSheetId="11">#REF!</definedName>
    <definedName name="_Cua15" localSheetId="13">#REF!</definedName>
    <definedName name="_Cua15" localSheetId="12">#REF!</definedName>
    <definedName name="_Cua15" localSheetId="14">#REF!</definedName>
    <definedName name="_Cua15" localSheetId="15">#REF!</definedName>
    <definedName name="_Cua15" localSheetId="16">#REF!</definedName>
    <definedName name="_Cua15" localSheetId="9">#REF!</definedName>
    <definedName name="_Cua15">#REF!</definedName>
    <definedName name="_Cua16" localSheetId="11">#REF!</definedName>
    <definedName name="_Cua16" localSheetId="13">#REF!</definedName>
    <definedName name="_Cua16" localSheetId="12">#REF!</definedName>
    <definedName name="_Cua16" localSheetId="14">#REF!</definedName>
    <definedName name="_Cua16" localSheetId="15">#REF!</definedName>
    <definedName name="_Cua16" localSheetId="16">#REF!</definedName>
    <definedName name="_Cua16" localSheetId="7">#REF!</definedName>
    <definedName name="_Cua16" localSheetId="9">#REF!</definedName>
    <definedName name="_Cua16">#REF!</definedName>
    <definedName name="_Cua17" localSheetId="11">#REF!</definedName>
    <definedName name="_Cua17" localSheetId="13">#REF!</definedName>
    <definedName name="_Cua17" localSheetId="12">#REF!</definedName>
    <definedName name="_Cua17" localSheetId="14">#REF!</definedName>
    <definedName name="_Cua17" localSheetId="15">#REF!</definedName>
    <definedName name="_Cua17" localSheetId="16">#REF!</definedName>
    <definedName name="_Cua17" localSheetId="9">#REF!</definedName>
    <definedName name="_Cua17">#REF!</definedName>
    <definedName name="_Cua18" localSheetId="11">#REF!</definedName>
    <definedName name="_Cua18" localSheetId="13">#REF!</definedName>
    <definedName name="_Cua18" localSheetId="12">#REF!</definedName>
    <definedName name="_Cua18" localSheetId="14">#REF!</definedName>
    <definedName name="_Cua18" localSheetId="15">#REF!</definedName>
    <definedName name="_Cua18" localSheetId="16">#REF!</definedName>
    <definedName name="_Cua18" localSheetId="7">#REF!</definedName>
    <definedName name="_Cua18" localSheetId="9">#REF!</definedName>
    <definedName name="_Cua18">#REF!</definedName>
    <definedName name="_Cua19" localSheetId="11">#REF!</definedName>
    <definedName name="_Cua19" localSheetId="13">#REF!</definedName>
    <definedName name="_Cua19" localSheetId="12">#REF!</definedName>
    <definedName name="_Cua19" localSheetId="14">#REF!</definedName>
    <definedName name="_Cua19" localSheetId="15">#REF!</definedName>
    <definedName name="_Cua19" localSheetId="16">#REF!</definedName>
    <definedName name="_Cua19" localSheetId="7">#REF!</definedName>
    <definedName name="_Cua19" localSheetId="9">#REF!</definedName>
    <definedName name="_Cua19">#REF!</definedName>
    <definedName name="_Fill" localSheetId="11" hidden="1">#REF!</definedName>
    <definedName name="_Fill" localSheetId="13" hidden="1">#REF!</definedName>
    <definedName name="_Fill" localSheetId="12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7" hidden="1">#REF!</definedName>
    <definedName name="_Fill" localSheetId="9" hidden="1">#REF!</definedName>
    <definedName name="_Fill" hidden="1">#REF!</definedName>
    <definedName name="_xlnm._FilterDatabase" localSheetId="10" hidden="1">'SINIESTROS 2020'!$A$8:$M$164</definedName>
    <definedName name="_xlnm._FilterDatabase" localSheetId="11" hidden="1">'SINIESTROS 2021'!$A$8:$M$101</definedName>
    <definedName name="_xlnm._FilterDatabase" localSheetId="13" hidden="1">'SINIESTROS 2021 TODOS'!$A$8:$M$121</definedName>
    <definedName name="_xlnm._FilterDatabase" localSheetId="12" hidden="1">'SINIESTROS 2022'!$A$6:$M$174</definedName>
    <definedName name="_xlnm._FilterDatabase" localSheetId="14" hidden="1">'SINIESTROS 2023'!$A$8:$M$110</definedName>
    <definedName name="_xlnm._FilterDatabase" localSheetId="15" hidden="1">'SINIESTROS 2024'!$A$8:$M$59</definedName>
    <definedName name="_xlnm._FilterDatabase" localSheetId="16" hidden="1">'SINIESTROS 2025'!$A$8:$M$59</definedName>
    <definedName name="_xlnm._FilterDatabase" localSheetId="0" hidden="1">'SINIESTROS AÑO 2010'!$A$9:$M$9</definedName>
    <definedName name="_xlnm._FilterDatabase" localSheetId="1" hidden="1">'SINIESTROS AÑO 2011'!$A$9:$M$231</definedName>
    <definedName name="_xlnm._FilterDatabase" localSheetId="2" hidden="1">'SINIESTROS AÑO 2012'!$A$9:$M$247</definedName>
    <definedName name="_xlnm._FilterDatabase" localSheetId="3" hidden="1">'SINIESTROS AÑO 2013'!$A$9:$M$156</definedName>
    <definedName name="_xlnm._FilterDatabase" localSheetId="4" hidden="1">'SINIESTROS AÑO 2014'!$A$9:$M$9</definedName>
    <definedName name="_xlnm._FilterDatabase" localSheetId="5" hidden="1">'SINIESTROS AÑO 2015'!$A$9:$M$111</definedName>
    <definedName name="_xlnm._FilterDatabase" localSheetId="6" hidden="1">'SINIESTROS AÑO 2016'!$A$9:$M$156</definedName>
    <definedName name="_xlnm._FilterDatabase" localSheetId="7" hidden="1">'SINIESTROS AÑO 2017'!$A$9:$M$93</definedName>
    <definedName name="_xlnm._FilterDatabase" localSheetId="8" hidden="1">'SINIESTROS AÑO 2018'!$B$8:$M$8</definedName>
    <definedName name="_xlnm._FilterDatabase" localSheetId="9" hidden="1">'SINIESTROS AÑO 2019'!$B$8:$M$69</definedName>
    <definedName name="_Key1" localSheetId="11" hidden="1">#REF!</definedName>
    <definedName name="_Key1" localSheetId="13" hidden="1">#REF!</definedName>
    <definedName name="_Key1" localSheetId="12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7" hidden="1">#REF!</definedName>
    <definedName name="_Key1" localSheetId="9" hidden="1">#REF!</definedName>
    <definedName name="_Key1" hidden="1">#REF!</definedName>
    <definedName name="_Key2" localSheetId="11" hidden="1">#REF!</definedName>
    <definedName name="_Key2" localSheetId="13" hidden="1">#REF!</definedName>
    <definedName name="_Key2" localSheetId="12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7" hidden="1">#REF!</definedName>
    <definedName name="_Key2" localSheetId="9" hidden="1">#REF!</definedName>
    <definedName name="_Key2" hidden="1">#REF!</definedName>
    <definedName name="_key3" localSheetId="11" hidden="1">#REF!</definedName>
    <definedName name="_key3" localSheetId="13" hidden="1">#REF!</definedName>
    <definedName name="_key3" localSheetId="12" hidden="1">#REF!</definedName>
    <definedName name="_key3" localSheetId="14" hidden="1">#REF!</definedName>
    <definedName name="_key3" localSheetId="15" hidden="1">#REF!</definedName>
    <definedName name="_key3" localSheetId="16" hidden="1">#REF!</definedName>
    <definedName name="_key3" localSheetId="7" hidden="1">#REF!</definedName>
    <definedName name="_key3" localSheetId="9" hidden="1">#REF!</definedName>
    <definedName name="_key3" hidden="1">#REF!</definedName>
    <definedName name="_Order1" hidden="1">255</definedName>
    <definedName name="_Order2" hidden="1">255</definedName>
    <definedName name="_PC90" localSheetId="11">#REF!</definedName>
    <definedName name="_PC90" localSheetId="13">#REF!</definedName>
    <definedName name="_PC90" localSheetId="12">#REF!</definedName>
    <definedName name="_PC90" localSheetId="14">#REF!</definedName>
    <definedName name="_PC90" localSheetId="15">#REF!</definedName>
    <definedName name="_PC90" localSheetId="16">#REF!</definedName>
    <definedName name="_PC90" localSheetId="7">#REF!</definedName>
    <definedName name="_PC90" localSheetId="9">#REF!</definedName>
    <definedName name="_PC90">#REF!</definedName>
    <definedName name="_Sort" localSheetId="11" hidden="1">#REF!</definedName>
    <definedName name="_Sort" localSheetId="13" hidden="1">#REF!</definedName>
    <definedName name="_Sort" localSheetId="12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7" hidden="1">#REF!</definedName>
    <definedName name="_Sort" localSheetId="9" hidden="1">#REF!</definedName>
    <definedName name="_Sort" hidden="1">#REF!</definedName>
    <definedName name="_TA1" localSheetId="11">#REF!</definedName>
    <definedName name="_TA1" localSheetId="13">#REF!</definedName>
    <definedName name="_TA1" localSheetId="12">#REF!</definedName>
    <definedName name="_TA1" localSheetId="14">#REF!</definedName>
    <definedName name="_TA1" localSheetId="15">#REF!</definedName>
    <definedName name="_TA1" localSheetId="16">#REF!</definedName>
    <definedName name="_TA1" localSheetId="7">#REF!</definedName>
    <definedName name="_TA1" localSheetId="9">#REF!</definedName>
    <definedName name="_TA1">#REF!</definedName>
    <definedName name="_TA2" localSheetId="11">#REF!</definedName>
    <definedName name="_TA2" localSheetId="13">#REF!</definedName>
    <definedName name="_TA2" localSheetId="12">#REF!</definedName>
    <definedName name="_TA2" localSheetId="14">#REF!</definedName>
    <definedName name="_TA2" localSheetId="15">#REF!</definedName>
    <definedName name="_TA2" localSheetId="16">#REF!</definedName>
    <definedName name="_TA2" localSheetId="7">#REF!</definedName>
    <definedName name="_TA2" localSheetId="9">#REF!</definedName>
    <definedName name="_TA2">#REF!</definedName>
    <definedName name="A">#N/A</definedName>
    <definedName name="_xlnm.Print_Area" localSheetId="18">IPC!$B$1:$AJ$34</definedName>
    <definedName name="_xlnm.Print_Area" localSheetId="19">'RESUMEN PMD PAGADAS'!$A$3:$AK$92</definedName>
    <definedName name="_xlnm.Print_Area" localSheetId="1">'SINIESTROS AÑO 2011'!$A$6:$M$20</definedName>
    <definedName name="B" localSheetId="11">#REF!</definedName>
    <definedName name="B" localSheetId="13">#REF!</definedName>
    <definedName name="B" localSheetId="12">#REF!</definedName>
    <definedName name="B" localSheetId="14">#REF!</definedName>
    <definedName name="B" localSheetId="15">#REF!</definedName>
    <definedName name="B" localSheetId="16">#REF!</definedName>
    <definedName name="B" localSheetId="7">#REF!</definedName>
    <definedName name="B" localSheetId="9">#REF!</definedName>
    <definedName name="B">#REF!</definedName>
    <definedName name="C_">#N/A</definedName>
    <definedName name="Cuadro_1" localSheetId="11">#REF!</definedName>
    <definedName name="Cuadro_1" localSheetId="13">#REF!</definedName>
    <definedName name="Cuadro_1" localSheetId="12">#REF!</definedName>
    <definedName name="Cuadro_1" localSheetId="14">#REF!</definedName>
    <definedName name="Cuadro_1" localSheetId="15">#REF!</definedName>
    <definedName name="Cuadro_1" localSheetId="16">#REF!</definedName>
    <definedName name="Cuadro_1" localSheetId="7">#REF!</definedName>
    <definedName name="Cuadro_1" localSheetId="9">#REF!</definedName>
    <definedName name="Cuadro_1">#REF!</definedName>
    <definedName name="CUADRO_2" localSheetId="11">#REF!</definedName>
    <definedName name="CUADRO_2" localSheetId="13">#REF!</definedName>
    <definedName name="CUADRO_2" localSheetId="12">#REF!</definedName>
    <definedName name="CUADRO_2" localSheetId="14">#REF!</definedName>
    <definedName name="CUADRO_2" localSheetId="15">#REF!</definedName>
    <definedName name="CUADRO_2" localSheetId="16">#REF!</definedName>
    <definedName name="CUADRO_2" localSheetId="7">#REF!</definedName>
    <definedName name="CUADRO_2" localSheetId="9">#REF!</definedName>
    <definedName name="CUADRO_2">#REF!</definedName>
    <definedName name="CUADRO_3" localSheetId="11">#REF!</definedName>
    <definedName name="CUADRO_3" localSheetId="13">#REF!</definedName>
    <definedName name="CUADRO_3" localSheetId="12">#REF!</definedName>
    <definedName name="CUADRO_3" localSheetId="14">#REF!</definedName>
    <definedName name="CUADRO_3" localSheetId="15">#REF!</definedName>
    <definedName name="CUADRO_3" localSheetId="16">#REF!</definedName>
    <definedName name="CUADRO_3" localSheetId="7">#REF!</definedName>
    <definedName name="CUADRO_3" localSheetId="9">#REF!</definedName>
    <definedName name="CUADRO_3">#REF!</definedName>
    <definedName name="CUADRO_4" localSheetId="11">#REF!</definedName>
    <definedName name="CUADRO_4" localSheetId="13">#REF!</definedName>
    <definedName name="CUADRO_4" localSheetId="12">#REF!</definedName>
    <definedName name="CUADRO_4" localSheetId="14">#REF!</definedName>
    <definedName name="CUADRO_4" localSheetId="15">#REF!</definedName>
    <definedName name="CUADRO_4" localSheetId="16">#REF!</definedName>
    <definedName name="CUADRO_4" localSheetId="7">#REF!</definedName>
    <definedName name="CUADRO_4" localSheetId="9">#REF!</definedName>
    <definedName name="CUADRO_4">#REF!</definedName>
    <definedName name="CUADRO_5" localSheetId="11">#REF!</definedName>
    <definedName name="CUADRO_5" localSheetId="13">#REF!</definedName>
    <definedName name="CUADRO_5" localSheetId="12">#REF!</definedName>
    <definedName name="CUADRO_5" localSheetId="14">#REF!</definedName>
    <definedName name="CUADRO_5" localSheetId="15">#REF!</definedName>
    <definedName name="CUADRO_5" localSheetId="16">#REF!</definedName>
    <definedName name="CUADRO_5" localSheetId="7">#REF!</definedName>
    <definedName name="CUADRO_5" localSheetId="9">#REF!</definedName>
    <definedName name="CUADRO_5">#REF!</definedName>
    <definedName name="Cuadro0000" localSheetId="11">#REF!</definedName>
    <definedName name="Cuadro0000" localSheetId="13">#REF!</definedName>
    <definedName name="Cuadro0000" localSheetId="12">#REF!</definedName>
    <definedName name="Cuadro0000" localSheetId="14">#REF!</definedName>
    <definedName name="Cuadro0000" localSheetId="15">#REF!</definedName>
    <definedName name="Cuadro0000" localSheetId="16">#REF!</definedName>
    <definedName name="Cuadro0000" localSheetId="7">#REF!</definedName>
    <definedName name="Cuadro0000" localSheetId="9">#REF!</definedName>
    <definedName name="Cuadro0000">#REF!</definedName>
    <definedName name="CUADRO1" localSheetId="11">#REF!</definedName>
    <definedName name="CUADRO1" localSheetId="13">#REF!</definedName>
    <definedName name="CUADRO1" localSheetId="12">#REF!</definedName>
    <definedName name="CUADRO1" localSheetId="14">#REF!</definedName>
    <definedName name="CUADRO1" localSheetId="15">#REF!</definedName>
    <definedName name="CUADRO1" localSheetId="16">#REF!</definedName>
    <definedName name="CUADRO1" localSheetId="7">#REF!</definedName>
    <definedName name="CUADRO1" localSheetId="9">#REF!</definedName>
    <definedName name="CUADRO1">#REF!</definedName>
    <definedName name="CUADRO2" localSheetId="11">#REF!</definedName>
    <definedName name="CUADRO2" localSheetId="13">#REF!</definedName>
    <definedName name="CUADRO2" localSheetId="12">#REF!</definedName>
    <definedName name="CUADRO2" localSheetId="14">#REF!</definedName>
    <definedName name="CUADRO2" localSheetId="15">#REF!</definedName>
    <definedName name="CUADRO2" localSheetId="16">#REF!</definedName>
    <definedName name="CUADRO2" localSheetId="7">#REF!</definedName>
    <definedName name="CUADRO2" localSheetId="9">#REF!</definedName>
    <definedName name="CUADRO2">#REF!</definedName>
    <definedName name="D">#N/A</definedName>
    <definedName name="E" localSheetId="18">#REF!</definedName>
    <definedName name="fdasfa" localSheetId="11" hidden="1">#REF!</definedName>
    <definedName name="fdasfa" localSheetId="13" hidden="1">#REF!</definedName>
    <definedName name="fdasfa" localSheetId="12" hidden="1">#REF!</definedName>
    <definedName name="fdasfa" localSheetId="14" hidden="1">#REF!</definedName>
    <definedName name="fdasfa" localSheetId="15" hidden="1">#REF!</definedName>
    <definedName name="fdasfa" localSheetId="16" hidden="1">#REF!</definedName>
    <definedName name="fdasfa" localSheetId="7" hidden="1">#REF!</definedName>
    <definedName name="fdasfa" localSheetId="9" hidden="1">#REF!</definedName>
    <definedName name="fdasfa" hidden="1">#REF!</definedName>
    <definedName name="FFFF">[2]CUADRO1!$A$264:$A$269</definedName>
    <definedName name="IMPRESION" localSheetId="11">#REF!</definedName>
    <definedName name="IMPRESION" localSheetId="13">#REF!</definedName>
    <definedName name="IMPRESION" localSheetId="12">#REF!</definedName>
    <definedName name="IMPRESION" localSheetId="14">#REF!</definedName>
    <definedName name="IMPRESION" localSheetId="15">#REF!</definedName>
    <definedName name="IMPRESION" localSheetId="16">#REF!</definedName>
    <definedName name="IMPRESION" localSheetId="7">#REF!</definedName>
    <definedName name="IMPRESION" localSheetId="9">#REF!</definedName>
    <definedName name="IMPRESION">#REF!</definedName>
    <definedName name="IN90_" localSheetId="11">#REF!</definedName>
    <definedName name="IN90_" localSheetId="13">#REF!</definedName>
    <definedName name="IN90_" localSheetId="12">#REF!</definedName>
    <definedName name="IN90_" localSheetId="14">#REF!</definedName>
    <definedName name="IN90_" localSheetId="15">#REF!</definedName>
    <definedName name="IN90_" localSheetId="16">#REF!</definedName>
    <definedName name="IN90_" localSheetId="7">#REF!</definedName>
    <definedName name="IN90_" localSheetId="9">#REF!</definedName>
    <definedName name="IN90_">#REF!</definedName>
    <definedName name="ParaBCH" localSheetId="11">#REF!</definedName>
    <definedName name="ParaBCH" localSheetId="13">#REF!</definedName>
    <definedName name="ParaBCH" localSheetId="12">#REF!</definedName>
    <definedName name="ParaBCH" localSheetId="14">#REF!</definedName>
    <definedName name="ParaBCH" localSheetId="15">#REF!</definedName>
    <definedName name="ParaBCH" localSheetId="16">#REF!</definedName>
    <definedName name="ParaBCH" localSheetId="7">#REF!</definedName>
    <definedName name="ParaBCH" localSheetId="9">#REF!</definedName>
    <definedName name="ParaBCH">#REF!</definedName>
    <definedName name="SDDS" localSheetId="18">#REF!</definedName>
    <definedName name="_xlnm.Print_Titles" localSheetId="0">'SINIESTROS AÑO 2010'!$1:$9</definedName>
    <definedName name="_xlnm.Print_Titles" localSheetId="2">'SINIESTROS AÑO 2012'!$1:$9</definedName>
  </definedNames>
  <calcPr calcId="191029"/>
  <pivotCaches>
    <pivotCache cacheId="0" r:id="rId30"/>
    <pivotCache cacheId="1" r:id="rId31"/>
    <pivotCache cacheId="2" r:id="rId3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0" l="1"/>
  <c r="O69" i="10"/>
  <c r="O71" i="10"/>
  <c r="O55" i="10"/>
  <c r="O54" i="10"/>
  <c r="N37" i="10"/>
  <c r="N54" i="10"/>
  <c r="P54" i="10" s="1"/>
  <c r="O38" i="10"/>
  <c r="O20" i="10"/>
  <c r="N20" i="10"/>
  <c r="N70" i="10" l="1"/>
  <c r="P70" i="10"/>
  <c r="O37" i="10" l="1"/>
  <c r="Q37" i="10"/>
  <c r="Q54" i="10" s="1"/>
  <c r="O19" i="10"/>
  <c r="D101" i="10"/>
  <c r="D100" i="10"/>
  <c r="I93" i="10"/>
  <c r="N19" i="10" s="1"/>
  <c r="B107" i="10"/>
  <c r="B106" i="10"/>
  <c r="B105" i="10"/>
  <c r="B102" i="10"/>
  <c r="H101" i="10"/>
  <c r="C101" i="10"/>
  <c r="I100" i="10"/>
  <c r="I102" i="10" s="1"/>
  <c r="C100" i="10"/>
  <c r="C94" i="10"/>
  <c r="C93" i="10"/>
  <c r="F101" i="10" l="1"/>
  <c r="P19" i="10"/>
  <c r="D102" i="10"/>
  <c r="F100" i="10"/>
  <c r="C102" i="10"/>
  <c r="F102" i="10" l="1"/>
  <c r="B95" i="10" l="1"/>
  <c r="H94" i="10"/>
  <c r="D94" i="10"/>
  <c r="F94" i="10" s="1"/>
  <c r="I95" i="10"/>
  <c r="D93" i="10"/>
  <c r="C95" i="10"/>
  <c r="O41" i="7"/>
  <c r="P41" i="7"/>
  <c r="R41" i="7"/>
  <c r="Q41" i="7"/>
  <c r="F28" i="6"/>
  <c r="O57" i="7"/>
  <c r="O54" i="7"/>
  <c r="O53" i="7"/>
  <c r="O52" i="7"/>
  <c r="O44" i="7"/>
  <c r="O58" i="7"/>
  <c r="O56" i="7"/>
  <c r="O51" i="7"/>
  <c r="O50" i="7"/>
  <c r="O49" i="7"/>
  <c r="O48" i="7"/>
  <c r="O47" i="7"/>
  <c r="O46" i="7"/>
  <c r="O45" i="7"/>
  <c r="Q37" i="7"/>
  <c r="P37" i="7"/>
  <c r="Q36" i="7"/>
  <c r="P36" i="7"/>
  <c r="J112" i="20"/>
  <c r="K112" i="20"/>
  <c r="L112" i="20"/>
  <c r="I112" i="20"/>
  <c r="I110" i="20"/>
  <c r="J110" i="20" s="1"/>
  <c r="L110" i="20" s="1"/>
  <c r="J109" i="20"/>
  <c r="L109" i="20" s="1"/>
  <c r="I106" i="20"/>
  <c r="J107" i="20" s="1"/>
  <c r="L107" i="20" s="1"/>
  <c r="J104" i="20"/>
  <c r="L104" i="20" s="1"/>
  <c r="J100" i="20"/>
  <c r="L100" i="20" s="1"/>
  <c r="I98" i="20"/>
  <c r="J98" i="20" s="1"/>
  <c r="L98" i="20" s="1"/>
  <c r="J96" i="20"/>
  <c r="L96" i="20" s="1"/>
  <c r="J93" i="20"/>
  <c r="L93" i="20" s="1"/>
  <c r="J91" i="20"/>
  <c r="L91" i="20" s="1"/>
  <c r="J86" i="20"/>
  <c r="L86" i="20" s="1"/>
  <c r="J82" i="20"/>
  <c r="L82" i="20" s="1"/>
  <c r="I78" i="20"/>
  <c r="J79" i="20" s="1"/>
  <c r="L79" i="20" s="1"/>
  <c r="J76" i="20"/>
  <c r="L76" i="20" s="1"/>
  <c r="J74" i="20"/>
  <c r="L74" i="20" s="1"/>
  <c r="J73" i="20"/>
  <c r="L73" i="20" s="1"/>
  <c r="J69" i="20"/>
  <c r="L69" i="20" s="1"/>
  <c r="J67" i="20"/>
  <c r="L67" i="20" s="1"/>
  <c r="J66" i="20"/>
  <c r="L66" i="20" s="1"/>
  <c r="J64" i="20"/>
  <c r="L64" i="20" s="1"/>
  <c r="J62" i="20"/>
  <c r="L62" i="20" s="1"/>
  <c r="J58" i="20"/>
  <c r="L58" i="20" s="1"/>
  <c r="J57" i="20"/>
  <c r="L57" i="20" s="1"/>
  <c r="J53" i="20"/>
  <c r="L53" i="20" s="1"/>
  <c r="J47" i="20"/>
  <c r="L47" i="20" s="1"/>
  <c r="J45" i="20"/>
  <c r="L45" i="20" s="1"/>
  <c r="J44" i="20"/>
  <c r="L44" i="20" s="1"/>
  <c r="J40" i="20"/>
  <c r="L40" i="20" s="1"/>
  <c r="J34" i="20"/>
  <c r="L34" i="20" s="1"/>
  <c r="J32" i="20"/>
  <c r="L32" i="20" s="1"/>
  <c r="J28" i="20"/>
  <c r="L28" i="20" s="1"/>
  <c r="J25" i="20"/>
  <c r="L25" i="20" s="1"/>
  <c r="J22" i="20"/>
  <c r="L22" i="20" s="1"/>
  <c r="J18" i="20"/>
  <c r="L18" i="20" s="1"/>
  <c r="J16" i="20"/>
  <c r="L16" i="20" s="1"/>
  <c r="J14" i="20"/>
  <c r="L14" i="20" s="1"/>
  <c r="J10" i="20"/>
  <c r="L10" i="20" s="1"/>
  <c r="D95" i="10" l="1"/>
  <c r="F93" i="10"/>
  <c r="F95" i="10" s="1"/>
  <c r="J141" i="21"/>
  <c r="K141" i="21"/>
  <c r="L141" i="21"/>
  <c r="I141" i="21"/>
  <c r="J139" i="21"/>
  <c r="L139" i="21" s="1"/>
  <c r="J136" i="21"/>
  <c r="L136" i="21" s="1"/>
  <c r="J133" i="21"/>
  <c r="L133" i="21" s="1"/>
  <c r="J130" i="21"/>
  <c r="L130" i="21" s="1"/>
  <c r="J128" i="21"/>
  <c r="L128" i="21" s="1"/>
  <c r="J124" i="21"/>
  <c r="L124" i="21" s="1"/>
  <c r="J112" i="21"/>
  <c r="L112" i="21" s="1"/>
  <c r="J109" i="21"/>
  <c r="L109" i="21" s="1"/>
  <c r="J104" i="21"/>
  <c r="L104" i="21" s="1"/>
  <c r="J102" i="21"/>
  <c r="L102" i="21" s="1"/>
  <c r="J99" i="21"/>
  <c r="L99" i="21" s="1"/>
  <c r="J98" i="21"/>
  <c r="L98" i="21" s="1"/>
  <c r="J95" i="21"/>
  <c r="L95" i="21" s="1"/>
  <c r="J93" i="21"/>
  <c r="L93" i="21" s="1"/>
  <c r="J91" i="21"/>
  <c r="L91" i="21" s="1"/>
  <c r="J89" i="21"/>
  <c r="L89" i="21" s="1"/>
  <c r="J82" i="21"/>
  <c r="L82" i="21" s="1"/>
  <c r="I77" i="21"/>
  <c r="J78" i="21" s="1"/>
  <c r="L78" i="21" s="1"/>
  <c r="J76" i="21"/>
  <c r="L76" i="21" s="1"/>
  <c r="J71" i="21"/>
  <c r="L71" i="21" s="1"/>
  <c r="J69" i="21"/>
  <c r="L69" i="21" s="1"/>
  <c r="J66" i="21"/>
  <c r="L66" i="21" s="1"/>
  <c r="J65" i="21"/>
  <c r="L65" i="21" s="1"/>
  <c r="J63" i="21"/>
  <c r="L63" i="21" s="1"/>
  <c r="J62" i="21"/>
  <c r="L62" i="21" s="1"/>
  <c r="J60" i="21"/>
  <c r="L60" i="21" s="1"/>
  <c r="J57" i="21"/>
  <c r="L57" i="21" s="1"/>
  <c r="J55" i="21"/>
  <c r="L55" i="21" s="1"/>
  <c r="J49" i="21"/>
  <c r="L49" i="21" s="1"/>
  <c r="J48" i="21"/>
  <c r="L48" i="21" s="1"/>
  <c r="J46" i="21"/>
  <c r="L46" i="21" s="1"/>
  <c r="J43" i="21"/>
  <c r="L43" i="21" s="1"/>
  <c r="J40" i="21"/>
  <c r="L40" i="21" s="1"/>
  <c r="J35" i="21"/>
  <c r="L35" i="21" s="1"/>
  <c r="J33" i="21"/>
  <c r="L33" i="21" s="1"/>
  <c r="L31" i="21"/>
  <c r="J31" i="21"/>
  <c r="J29" i="21"/>
  <c r="L29" i="21" s="1"/>
  <c r="J25" i="21"/>
  <c r="L25" i="21" s="1"/>
  <c r="J23" i="21"/>
  <c r="L23" i="21" s="1"/>
  <c r="J22" i="21"/>
  <c r="L22" i="21" s="1"/>
  <c r="J21" i="21"/>
  <c r="L21" i="21" s="1"/>
  <c r="J19" i="21"/>
  <c r="L19" i="21" s="1"/>
  <c r="J14" i="21"/>
  <c r="L14" i="21" s="1"/>
  <c r="J13" i="21"/>
  <c r="L13" i="21" s="1"/>
  <c r="L12" i="21"/>
  <c r="J12" i="21"/>
  <c r="J10" i="21"/>
  <c r="L10" i="21" s="1"/>
  <c r="J87" i="22" l="1"/>
  <c r="L87" i="22" s="1"/>
  <c r="J83" i="22"/>
  <c r="L83" i="22" s="1"/>
  <c r="J80" i="22"/>
  <c r="L80" i="22" s="1"/>
  <c r="J76" i="22"/>
  <c r="L76" i="22" s="1"/>
  <c r="J74" i="22"/>
  <c r="L74" i="22" s="1"/>
  <c r="J71" i="22"/>
  <c r="L71" i="22" s="1"/>
  <c r="J69" i="22"/>
  <c r="L69" i="22" s="1"/>
  <c r="J67" i="22"/>
  <c r="L67" i="22" s="1"/>
  <c r="J65" i="22"/>
  <c r="L65" i="22" s="1"/>
  <c r="J63" i="22"/>
  <c r="L63" i="22" s="1"/>
  <c r="J60" i="22"/>
  <c r="L60" i="22" s="1"/>
  <c r="J59" i="22"/>
  <c r="L59" i="22" s="1"/>
  <c r="J56" i="22"/>
  <c r="L56" i="22" s="1"/>
  <c r="J53" i="22"/>
  <c r="L53" i="22" s="1"/>
  <c r="J51" i="22"/>
  <c r="L51" i="22" s="1"/>
  <c r="J49" i="22"/>
  <c r="L49" i="22" s="1"/>
  <c r="J42" i="22"/>
  <c r="L42" i="22" s="1"/>
  <c r="J39" i="22"/>
  <c r="L39" i="22" s="1"/>
  <c r="J35" i="22"/>
  <c r="L35" i="22" s="1"/>
  <c r="J33" i="22"/>
  <c r="L33" i="22" s="1"/>
  <c r="J32" i="22"/>
  <c r="L32" i="22" s="1"/>
  <c r="J28" i="22"/>
  <c r="L28" i="22" s="1"/>
  <c r="J24" i="22"/>
  <c r="L24" i="22" s="1"/>
  <c r="J22" i="22"/>
  <c r="L22" i="22" s="1"/>
  <c r="J20" i="22"/>
  <c r="L20" i="22" s="1"/>
  <c r="J17" i="22"/>
  <c r="L17" i="22" s="1"/>
  <c r="J14" i="22"/>
  <c r="L14" i="22" s="1"/>
  <c r="J13" i="22"/>
  <c r="L13" i="22" s="1"/>
  <c r="H27" i="6" l="1"/>
  <c r="O55" i="7"/>
  <c r="D37" i="7"/>
  <c r="K27" i="6"/>
  <c r="AT36" i="7"/>
  <c r="AU36" i="7"/>
  <c r="AS36" i="7"/>
  <c r="AU33" i="7"/>
  <c r="AU32" i="7"/>
  <c r="K89" i="22"/>
  <c r="AD20" i="22"/>
  <c r="AE19" i="22"/>
  <c r="AE18" i="22"/>
  <c r="AE17" i="22"/>
  <c r="I89" i="22"/>
  <c r="AD13" i="22"/>
  <c r="P8" i="22"/>
  <c r="O17" i="22" l="1"/>
  <c r="O59" i="22"/>
  <c r="O20" i="22"/>
  <c r="O60" i="22"/>
  <c r="O28" i="22"/>
  <c r="O69" i="22"/>
  <c r="O71" i="22"/>
  <c r="O35" i="22"/>
  <c r="O76" i="22"/>
  <c r="O42" i="22"/>
  <c r="O49" i="22"/>
  <c r="O83" i="22"/>
  <c r="O87" i="22"/>
  <c r="O53" i="22"/>
  <c r="O14" i="22"/>
  <c r="O56" i="22"/>
  <c r="O22" i="22"/>
  <c r="O63" i="22"/>
  <c r="O24" i="22"/>
  <c r="O65" i="22"/>
  <c r="O67" i="22"/>
  <c r="O32" i="22"/>
  <c r="O33" i="22"/>
  <c r="O74" i="22"/>
  <c r="O39" i="22"/>
  <c r="O80" i="22"/>
  <c r="O51" i="22"/>
  <c r="O13" i="22"/>
  <c r="N45" i="7"/>
  <c r="N46" i="7" s="1"/>
  <c r="N47" i="7" s="1"/>
  <c r="N48" i="7" s="1"/>
  <c r="N49" i="7" s="1"/>
  <c r="N50" i="7" s="1"/>
  <c r="N51" i="7" s="1"/>
  <c r="N52" i="7" s="1"/>
  <c r="N53" i="7" s="1"/>
  <c r="N54" i="7" s="1"/>
  <c r="N55" i="7" s="1"/>
  <c r="N56" i="7" s="1"/>
  <c r="N57" i="7" s="1"/>
  <c r="L89" i="22" l="1"/>
  <c r="O89" i="22"/>
  <c r="D27" i="6" s="1"/>
  <c r="E27" i="6" s="1"/>
  <c r="G27" i="6" s="1"/>
  <c r="J27" i="6" s="1"/>
  <c r="J89" i="22"/>
  <c r="K26" i="6"/>
  <c r="E5" i="14" l="1"/>
  <c r="D5" i="14"/>
  <c r="H13" i="6"/>
  <c r="H28" i="6"/>
  <c r="AT32" i="7"/>
  <c r="AT33" i="7" s="1"/>
  <c r="N41" i="7"/>
  <c r="M41" i="7"/>
  <c r="L41" i="7"/>
  <c r="K41" i="7"/>
  <c r="J41" i="7"/>
  <c r="I41" i="7"/>
  <c r="H41" i="7"/>
  <c r="G41" i="7"/>
  <c r="F41" i="7"/>
  <c r="E41" i="7"/>
  <c r="D41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K23" i="6" l="1"/>
  <c r="M37" i="7"/>
  <c r="K17" i="6"/>
  <c r="G37" i="7"/>
  <c r="K19" i="6"/>
  <c r="I37" i="7"/>
  <c r="K20" i="6"/>
  <c r="J37" i="7"/>
  <c r="K21" i="6"/>
  <c r="K37" i="7"/>
  <c r="K22" i="6"/>
  <c r="L37" i="7"/>
  <c r="K24" i="6"/>
  <c r="N37" i="7"/>
  <c r="K25" i="6"/>
  <c r="O37" i="7"/>
  <c r="K14" i="6"/>
  <c r="K15" i="6"/>
  <c r="E37" i="7"/>
  <c r="K16" i="6"/>
  <c r="F37" i="7"/>
  <c r="K18" i="6"/>
  <c r="H37" i="7"/>
  <c r="K13" i="6"/>
  <c r="C88" i="10" l="1"/>
  <c r="D88" i="10" s="1"/>
  <c r="F88" i="10" l="1"/>
  <c r="O53" i="10" s="1"/>
  <c r="J44" i="17" l="1"/>
  <c r="L44" i="17" s="1"/>
  <c r="K174" i="17"/>
  <c r="AS32" i="7" l="1"/>
  <c r="AS33" i="7" s="1"/>
  <c r="K113" i="16" l="1"/>
  <c r="E69" i="10" s="1"/>
  <c r="L171" i="15"/>
  <c r="E63" i="10" s="1"/>
  <c r="E57" i="10"/>
  <c r="H26" i="6"/>
  <c r="N36" i="10"/>
  <c r="K181" i="17"/>
  <c r="E75" i="10" s="1"/>
  <c r="K118" i="20" l="1"/>
  <c r="E81" i="10" s="1"/>
  <c r="J173" i="17" l="1"/>
  <c r="J168" i="17"/>
  <c r="L168" i="17" s="1"/>
  <c r="J165" i="17"/>
  <c r="L165" i="17" s="1"/>
  <c r="I158" i="17"/>
  <c r="J164" i="17" s="1"/>
  <c r="L164" i="17" s="1"/>
  <c r="J157" i="17"/>
  <c r="L157" i="17" s="1"/>
  <c r="J154" i="17"/>
  <c r="L154" i="17" s="1"/>
  <c r="J153" i="17"/>
  <c r="L153" i="17" s="1"/>
  <c r="J151" i="17"/>
  <c r="L151" i="17" s="1"/>
  <c r="J146" i="17"/>
  <c r="L146" i="17" s="1"/>
  <c r="I143" i="17"/>
  <c r="J143" i="17" s="1"/>
  <c r="L143" i="17" s="1"/>
  <c r="J141" i="17"/>
  <c r="L141" i="17" s="1"/>
  <c r="J140" i="17"/>
  <c r="L140" i="17" s="1"/>
  <c r="J137" i="17"/>
  <c r="L137" i="17" s="1"/>
  <c r="J135" i="17"/>
  <c r="L135" i="17" s="1"/>
  <c r="J127" i="17"/>
  <c r="L127" i="17" s="1"/>
  <c r="J125" i="17"/>
  <c r="L125" i="17" s="1"/>
  <c r="J122" i="17"/>
  <c r="L122" i="17" s="1"/>
  <c r="J120" i="17"/>
  <c r="L120" i="17" s="1"/>
  <c r="J117" i="17"/>
  <c r="L117" i="17" s="1"/>
  <c r="J115" i="17"/>
  <c r="L115" i="17" s="1"/>
  <c r="J111" i="17"/>
  <c r="L111" i="17" s="1"/>
  <c r="I109" i="17"/>
  <c r="J109" i="17" s="1"/>
  <c r="L109" i="17" s="1"/>
  <c r="J107" i="17"/>
  <c r="L107" i="17" s="1"/>
  <c r="J104" i="17"/>
  <c r="L104" i="17" s="1"/>
  <c r="J101" i="17"/>
  <c r="L101" i="17" s="1"/>
  <c r="J99" i="17"/>
  <c r="L99" i="17" s="1"/>
  <c r="J96" i="17"/>
  <c r="L96" i="17" s="1"/>
  <c r="I91" i="17"/>
  <c r="J92" i="17" s="1"/>
  <c r="L92" i="17" s="1"/>
  <c r="J88" i="17"/>
  <c r="L88" i="17" s="1"/>
  <c r="J86" i="17"/>
  <c r="L86" i="17" s="1"/>
  <c r="J84" i="17"/>
  <c r="L84" i="17" s="1"/>
  <c r="J80" i="17"/>
  <c r="L80" i="17" s="1"/>
  <c r="J77" i="17"/>
  <c r="L77" i="17" s="1"/>
  <c r="J76" i="17"/>
  <c r="L76" i="17" s="1"/>
  <c r="J75" i="17"/>
  <c r="L75" i="17" s="1"/>
  <c r="J73" i="17"/>
  <c r="L73" i="17" s="1"/>
  <c r="J69" i="17"/>
  <c r="L69" i="17" s="1"/>
  <c r="I67" i="17"/>
  <c r="J68" i="17" s="1"/>
  <c r="L68" i="17" s="1"/>
  <c r="J66" i="17"/>
  <c r="L66" i="17" s="1"/>
  <c r="J64" i="17"/>
  <c r="L64" i="17" s="1"/>
  <c r="I61" i="17"/>
  <c r="J61" i="17" s="1"/>
  <c r="L61" i="17" s="1"/>
  <c r="J59" i="17"/>
  <c r="L59" i="17" s="1"/>
  <c r="J56" i="17"/>
  <c r="L56" i="17" s="1"/>
  <c r="J55" i="17"/>
  <c r="L55" i="17" s="1"/>
  <c r="I50" i="17"/>
  <c r="J50" i="17" s="1"/>
  <c r="L50" i="17" s="1"/>
  <c r="J41" i="17"/>
  <c r="L41" i="17" s="1"/>
  <c r="J39" i="17"/>
  <c r="L39" i="17" s="1"/>
  <c r="J35" i="17"/>
  <c r="L35" i="17" s="1"/>
  <c r="J32" i="17"/>
  <c r="L32" i="17" s="1"/>
  <c r="I27" i="17"/>
  <c r="I25" i="17"/>
  <c r="J24" i="17"/>
  <c r="L24" i="17" s="1"/>
  <c r="J22" i="17"/>
  <c r="L22" i="17" s="1"/>
  <c r="J19" i="17"/>
  <c r="L19" i="17" s="1"/>
  <c r="J17" i="17"/>
  <c r="L17" i="17" s="1"/>
  <c r="I12" i="17"/>
  <c r="J11" i="17"/>
  <c r="J14" i="17" l="1"/>
  <c r="L14" i="17" s="1"/>
  <c r="I174" i="17"/>
  <c r="L173" i="17"/>
  <c r="L11" i="17"/>
  <c r="J28" i="17"/>
  <c r="L28" i="17" s="1"/>
  <c r="L120" i="20" l="1"/>
  <c r="J174" i="17"/>
  <c r="L174" i="17"/>
  <c r="N53" i="10"/>
  <c r="N69" i="10" s="1"/>
  <c r="P53" i="10" l="1"/>
  <c r="H88" i="10"/>
  <c r="C87" i="10"/>
  <c r="B89" i="10"/>
  <c r="K146" i="21"/>
  <c r="E87" i="10" s="1"/>
  <c r="F87" i="10" l="1"/>
  <c r="L146" i="21"/>
  <c r="C89" i="10"/>
  <c r="D87" i="10"/>
  <c r="O36" i="10" l="1"/>
  <c r="O18" i="10"/>
  <c r="I87" i="10"/>
  <c r="I89" i="10" s="1"/>
  <c r="O145" i="21"/>
  <c r="P69" i="10"/>
  <c r="Q36" i="10"/>
  <c r="Q53" i="10" s="1"/>
  <c r="F89" i="10"/>
  <c r="D89" i="10"/>
  <c r="N18" i="10" l="1"/>
  <c r="P18" i="10" s="1"/>
  <c r="AD20" i="21"/>
  <c r="AE19" i="21" s="1"/>
  <c r="AD13" i="21"/>
  <c r="AE17" i="21" l="1"/>
  <c r="AE18" i="21"/>
  <c r="L148" i="21"/>
  <c r="L144" i="21"/>
  <c r="H21" i="6" l="1"/>
  <c r="F8" i="6" l="1"/>
  <c r="P8" i="21" s="1"/>
  <c r="O12" i="21" l="1"/>
  <c r="O46" i="21"/>
  <c r="O82" i="21"/>
  <c r="O133" i="21"/>
  <c r="O48" i="21"/>
  <c r="O89" i="21"/>
  <c r="O136" i="21"/>
  <c r="O14" i="21"/>
  <c r="O49" i="21"/>
  <c r="O91" i="21"/>
  <c r="O139" i="21"/>
  <c r="O19" i="21"/>
  <c r="O55" i="21"/>
  <c r="O93" i="21"/>
  <c r="O21" i="21"/>
  <c r="O57" i="21"/>
  <c r="O95" i="21"/>
  <c r="O22" i="21"/>
  <c r="O60" i="21"/>
  <c r="O98" i="21"/>
  <c r="O23" i="21"/>
  <c r="O62" i="21"/>
  <c r="O99" i="21"/>
  <c r="O25" i="21"/>
  <c r="O63" i="21"/>
  <c r="O102" i="21"/>
  <c r="O29" i="21"/>
  <c r="O65" i="21"/>
  <c r="O104" i="21"/>
  <c r="O31" i="21"/>
  <c r="O109" i="21"/>
  <c r="O33" i="21"/>
  <c r="O112" i="21"/>
  <c r="O35" i="21"/>
  <c r="O40" i="21"/>
  <c r="O76" i="21"/>
  <c r="O43" i="21"/>
  <c r="O130" i="21"/>
  <c r="O13" i="21"/>
  <c r="O66" i="21"/>
  <c r="O69" i="21"/>
  <c r="O124" i="21"/>
  <c r="O128" i="21"/>
  <c r="O78" i="21"/>
  <c r="O71" i="21"/>
  <c r="O10" i="21"/>
  <c r="O48" i="10"/>
  <c r="O47" i="10"/>
  <c r="O46" i="10"/>
  <c r="O62" i="10" s="1"/>
  <c r="O141" i="21" l="1"/>
  <c r="D26" i="6" s="1"/>
  <c r="E26" i="6" s="1"/>
  <c r="N47" i="10"/>
  <c r="N63" i="10" s="1"/>
  <c r="N48" i="10"/>
  <c r="N64" i="10" s="1"/>
  <c r="N50" i="10"/>
  <c r="N66" i="10" s="1"/>
  <c r="N51" i="10"/>
  <c r="N67" i="10" s="1"/>
  <c r="N43" i="10"/>
  <c r="N59" i="10" s="1"/>
  <c r="P48" i="10" l="1"/>
  <c r="P47" i="10"/>
  <c r="AR32" i="7"/>
  <c r="AR33" i="7" s="1"/>
  <c r="AR36" i="7" s="1"/>
  <c r="AQ32" i="7"/>
  <c r="AQ33" i="7" s="1"/>
  <c r="AQ36" i="7" s="1"/>
  <c r="AP32" i="7"/>
  <c r="AP33" i="7" s="1"/>
  <c r="AP36" i="7" s="1"/>
  <c r="AO32" i="7"/>
  <c r="AO33" i="7" s="1"/>
  <c r="AO36" i="7" s="1"/>
  <c r="G26" i="6" l="1"/>
  <c r="J26" i="6" s="1"/>
  <c r="H25" i="6" l="1"/>
  <c r="K183" i="17"/>
  <c r="L118" i="20" l="1"/>
  <c r="L116" i="20"/>
  <c r="I181" i="17"/>
  <c r="N35" i="10" l="1"/>
  <c r="AD20" i="20"/>
  <c r="AE19" i="20" s="1"/>
  <c r="AD13" i="20"/>
  <c r="N52" i="10" l="1"/>
  <c r="N55" i="10" s="1"/>
  <c r="N38" i="10"/>
  <c r="N68" i="10"/>
  <c r="N71" i="10" s="1"/>
  <c r="AE17" i="20"/>
  <c r="AE18" i="20"/>
  <c r="I81" i="10" l="1"/>
  <c r="N17" i="10" s="1"/>
  <c r="C81" i="10" l="1"/>
  <c r="D81" i="10" s="1"/>
  <c r="F81" i="10" s="1"/>
  <c r="B83" i="10"/>
  <c r="H82" i="10"/>
  <c r="C82" i="10"/>
  <c r="D82" i="10" s="1"/>
  <c r="F82" i="10" s="1"/>
  <c r="O52" i="10" s="1"/>
  <c r="P52" i="10" s="1"/>
  <c r="I83" i="10"/>
  <c r="O35" i="10" l="1"/>
  <c r="O68" i="10" s="1"/>
  <c r="P68" i="10" s="1"/>
  <c r="O17" i="10"/>
  <c r="P17" i="10" s="1"/>
  <c r="C83" i="10"/>
  <c r="D83" i="10"/>
  <c r="F83" i="10"/>
  <c r="J12" i="19"/>
  <c r="L12" i="19" s="1"/>
  <c r="J8" i="19"/>
  <c r="J6" i="19"/>
  <c r="I21" i="19"/>
  <c r="K21" i="19"/>
  <c r="L20" i="19"/>
  <c r="J20" i="19"/>
  <c r="J18" i="19"/>
  <c r="L18" i="19" s="1"/>
  <c r="J15" i="19"/>
  <c r="L15" i="19" s="1"/>
  <c r="J14" i="19"/>
  <c r="L14" i="19" s="1"/>
  <c r="J13" i="19"/>
  <c r="L13" i="19" s="1"/>
  <c r="Q35" i="10" l="1"/>
  <c r="Q52" i="10" s="1"/>
  <c r="J10" i="19"/>
  <c r="L10" i="19" s="1"/>
  <c r="J9" i="19" l="1"/>
  <c r="L8" i="19"/>
  <c r="L6" i="19"/>
  <c r="J84" i="15"/>
  <c r="L84" i="15" s="1"/>
  <c r="L9" i="19" l="1"/>
  <c r="L21" i="19" s="1"/>
  <c r="J21" i="19"/>
  <c r="I101" i="16"/>
  <c r="L111" i="8"/>
  <c r="I111" i="8"/>
  <c r="O33" i="10"/>
  <c r="Q33" i="10" s="1"/>
  <c r="B77" i="10" l="1"/>
  <c r="H76" i="10"/>
  <c r="C76" i="10"/>
  <c r="D76" i="10" s="1"/>
  <c r="B71" i="10"/>
  <c r="H70" i="10"/>
  <c r="C70" i="10"/>
  <c r="D70" i="10" s="1"/>
  <c r="F70" i="10" s="1"/>
  <c r="O50" i="10" s="1"/>
  <c r="C69" i="10"/>
  <c r="D69" i="10" s="1"/>
  <c r="H23" i="6"/>
  <c r="H24" i="6"/>
  <c r="F76" i="10" l="1"/>
  <c r="O51" i="10" s="1"/>
  <c r="P51" i="10" s="1"/>
  <c r="C77" i="10"/>
  <c r="O66" i="10"/>
  <c r="P66" i="10" s="1"/>
  <c r="P50" i="10"/>
  <c r="Q50" i="10" s="1"/>
  <c r="D75" i="10"/>
  <c r="F75" i="10" s="1"/>
  <c r="D71" i="10"/>
  <c r="F69" i="10"/>
  <c r="C71" i="10"/>
  <c r="K101" i="16"/>
  <c r="F71" i="10" l="1"/>
  <c r="O15" i="10"/>
  <c r="D77" i="10"/>
  <c r="O34" i="10"/>
  <c r="O67" i="10" s="1"/>
  <c r="P67" i="10" s="1"/>
  <c r="Q34" i="10" l="1"/>
  <c r="Q51" i="10" s="1"/>
  <c r="F77" i="10"/>
  <c r="O16" i="10"/>
  <c r="I122" i="18"/>
  <c r="M122" i="18"/>
  <c r="K122" i="18"/>
  <c r="K123" i="18" s="1"/>
  <c r="J121" i="18"/>
  <c r="J119" i="18"/>
  <c r="L119" i="18" s="1"/>
  <c r="J117" i="18"/>
  <c r="J113" i="18"/>
  <c r="L113" i="18" s="1"/>
  <c r="J112" i="18"/>
  <c r="J110" i="18"/>
  <c r="J105" i="18"/>
  <c r="J104" i="18"/>
  <c r="L104" i="18" s="1"/>
  <c r="J102" i="18"/>
  <c r="L102" i="18" s="1"/>
  <c r="J100" i="18"/>
  <c r="L100" i="18" s="1"/>
  <c r="J98" i="18"/>
  <c r="L98" i="18" s="1"/>
  <c r="J94" i="18"/>
  <c r="J93" i="18"/>
  <c r="L93" i="18" s="1"/>
  <c r="J91" i="18"/>
  <c r="J88" i="18"/>
  <c r="L88" i="18" s="1"/>
  <c r="J84" i="18"/>
  <c r="J82" i="18"/>
  <c r="L82" i="18" s="1"/>
  <c r="J78" i="18"/>
  <c r="L78" i="18" s="1"/>
  <c r="J76" i="18"/>
  <c r="J74" i="18"/>
  <c r="L74" i="18" s="1"/>
  <c r="J71" i="18"/>
  <c r="L71" i="18" s="1"/>
  <c r="J65" i="18"/>
  <c r="J63" i="18"/>
  <c r="L63" i="18" s="1"/>
  <c r="J61" i="18"/>
  <c r="J59" i="18"/>
  <c r="L59" i="18" s="1"/>
  <c r="J56" i="18"/>
  <c r="J53" i="18"/>
  <c r="L53" i="18" s="1"/>
  <c r="J52" i="18"/>
  <c r="J50" i="18"/>
  <c r="L50" i="18" s="1"/>
  <c r="J49" i="18"/>
  <c r="J48" i="18"/>
  <c r="L48" i="18" s="1"/>
  <c r="J44" i="18"/>
  <c r="J43" i="18"/>
  <c r="L43" i="18" s="1"/>
  <c r="J40" i="18"/>
  <c r="J39" i="18"/>
  <c r="L39" i="18" s="1"/>
  <c r="L35" i="18"/>
  <c r="J35" i="18"/>
  <c r="J33" i="18"/>
  <c r="L33" i="18" s="1"/>
  <c r="J32" i="18"/>
  <c r="J28" i="18"/>
  <c r="J26" i="18"/>
  <c r="L26" i="18" s="1"/>
  <c r="J25" i="18"/>
  <c r="L25" i="18" s="1"/>
  <c r="J24" i="18"/>
  <c r="AD23" i="18"/>
  <c r="AE22" i="18" s="1"/>
  <c r="J22" i="18"/>
  <c r="J20" i="18"/>
  <c r="L20" i="18" s="1"/>
  <c r="J17" i="18"/>
  <c r="L17" i="18" s="1"/>
  <c r="J16" i="18"/>
  <c r="L16" i="18" s="1"/>
  <c r="AD13" i="18"/>
  <c r="J12" i="18"/>
  <c r="L12" i="18" s="1"/>
  <c r="J34" i="16"/>
  <c r="J61" i="16"/>
  <c r="AE17" i="18" l="1"/>
  <c r="AE21" i="18"/>
  <c r="L61" i="16"/>
  <c r="L34" i="16"/>
  <c r="L44" i="18"/>
  <c r="L84" i="18"/>
  <c r="L105" i="18"/>
  <c r="L56" i="18"/>
  <c r="L40" i="18"/>
  <c r="L91" i="18"/>
  <c r="L52" i="18"/>
  <c r="L24" i="18"/>
  <c r="L32" i="18"/>
  <c r="L49" i="18"/>
  <c r="L61" i="18"/>
  <c r="L65" i="18"/>
  <c r="J122" i="18"/>
  <c r="L22" i="18"/>
  <c r="L28" i="18"/>
  <c r="L76" i="18"/>
  <c r="L94" i="18"/>
  <c r="L112" i="18"/>
  <c r="L117" i="18"/>
  <c r="L121" i="18"/>
  <c r="L110" i="18"/>
  <c r="L122" i="18" l="1"/>
  <c r="L130" i="18" l="1"/>
  <c r="L123" i="18"/>
  <c r="L125" i="18"/>
  <c r="J95" i="16" l="1"/>
  <c r="J72" i="16"/>
  <c r="J68" i="16"/>
  <c r="J66" i="16"/>
  <c r="J64" i="16"/>
  <c r="J55" i="16"/>
  <c r="J53" i="16"/>
  <c r="J51" i="16"/>
  <c r="J49" i="16"/>
  <c r="J46" i="16"/>
  <c r="J43" i="16"/>
  <c r="J42" i="16"/>
  <c r="J38" i="16"/>
  <c r="J30" i="16"/>
  <c r="J26" i="16"/>
  <c r="J21" i="16"/>
  <c r="J19" i="16"/>
  <c r="J16" i="16"/>
  <c r="J12" i="16"/>
  <c r="AD20" i="17"/>
  <c r="AE18" i="17" s="1"/>
  <c r="AD13" i="17"/>
  <c r="AE17" i="17" l="1"/>
  <c r="AE19" i="17"/>
  <c r="L72" i="16"/>
  <c r="L95" i="16"/>
  <c r="L53" i="16"/>
  <c r="L38" i="16"/>
  <c r="L179" i="17" l="1"/>
  <c r="I75" i="10"/>
  <c r="N16" i="10" s="1"/>
  <c r="J44" i="15"/>
  <c r="K164" i="15"/>
  <c r="K73" i="13"/>
  <c r="J63" i="13"/>
  <c r="P16" i="10" l="1"/>
  <c r="I77" i="10"/>
  <c r="J45" i="13"/>
  <c r="L45" i="13" s="1"/>
  <c r="J15" i="13"/>
  <c r="L15" i="13" s="1"/>
  <c r="J104" i="9"/>
  <c r="L104" i="9" s="1"/>
  <c r="J99" i="16"/>
  <c r="J97" i="16"/>
  <c r="J90" i="16"/>
  <c r="J88" i="16"/>
  <c r="J84" i="16"/>
  <c r="J80" i="16"/>
  <c r="J76" i="16"/>
  <c r="L68" i="16"/>
  <c r="L66" i="16"/>
  <c r="L64" i="16"/>
  <c r="L55" i="16"/>
  <c r="L51" i="16"/>
  <c r="L49" i="16"/>
  <c r="L46" i="16"/>
  <c r="L42" i="16"/>
  <c r="L97" i="16" l="1"/>
  <c r="L76" i="16"/>
  <c r="L84" i="16"/>
  <c r="L99" i="16"/>
  <c r="L88" i="16"/>
  <c r="L90" i="16"/>
  <c r="L80" i="16"/>
  <c r="J33" i="16"/>
  <c r="J23" i="16"/>
  <c r="J17" i="16"/>
  <c r="J91" i="16"/>
  <c r="J86" i="16"/>
  <c r="J79" i="16"/>
  <c r="L30" i="16" l="1"/>
  <c r="L33" i="16"/>
  <c r="L17" i="16"/>
  <c r="L19" i="16"/>
  <c r="L12" i="16"/>
  <c r="L21" i="16"/>
  <c r="L16" i="16"/>
  <c r="L23" i="16"/>
  <c r="J112" i="15" l="1"/>
  <c r="L112" i="15" s="1"/>
  <c r="J47" i="15" l="1"/>
  <c r="J136" i="15"/>
  <c r="J141" i="15"/>
  <c r="I155" i="15"/>
  <c r="L47" i="15" l="1"/>
  <c r="L136" i="15"/>
  <c r="L141" i="15"/>
  <c r="I151" i="15" l="1"/>
  <c r="I94" i="15"/>
  <c r="I97" i="15"/>
  <c r="J102" i="15"/>
  <c r="I125" i="15"/>
  <c r="I164" i="15" l="1"/>
  <c r="L102" i="15"/>
  <c r="J94" i="15"/>
  <c r="J10" i="11" l="1"/>
  <c r="L10" i="11" s="1"/>
  <c r="AD23" i="16"/>
  <c r="AE22" i="16" s="1"/>
  <c r="AD13" i="16"/>
  <c r="L91" i="16"/>
  <c r="L79" i="16"/>
  <c r="L43" i="16"/>
  <c r="J40" i="16"/>
  <c r="J39" i="16"/>
  <c r="L26" i="16"/>
  <c r="J24" i="16"/>
  <c r="J22" i="16"/>
  <c r="J10" i="15"/>
  <c r="J12" i="15"/>
  <c r="J13" i="15"/>
  <c r="J19" i="15"/>
  <c r="J20" i="15"/>
  <c r="J21" i="15"/>
  <c r="J23" i="15"/>
  <c r="J25" i="15"/>
  <c r="J27" i="15"/>
  <c r="J29" i="15"/>
  <c r="J32" i="15"/>
  <c r="J33" i="15"/>
  <c r="J36" i="15"/>
  <c r="J46" i="15"/>
  <c r="J49" i="15"/>
  <c r="J51" i="15"/>
  <c r="J54" i="15"/>
  <c r="J56" i="15"/>
  <c r="J58" i="15"/>
  <c r="J61" i="15"/>
  <c r="J63" i="15"/>
  <c r="J65" i="15"/>
  <c r="J69" i="15"/>
  <c r="J72" i="15"/>
  <c r="J74" i="15"/>
  <c r="J77" i="15"/>
  <c r="J79" i="15"/>
  <c r="J82" i="15"/>
  <c r="J86" i="15"/>
  <c r="J88" i="15"/>
  <c r="L94" i="15"/>
  <c r="J97" i="15"/>
  <c r="J98" i="15"/>
  <c r="J100" i="15"/>
  <c r="J105" i="15"/>
  <c r="J107" i="15"/>
  <c r="J110" i="15"/>
  <c r="J113" i="15"/>
  <c r="J116" i="15"/>
  <c r="J122" i="15"/>
  <c r="J123" i="15"/>
  <c r="J125" i="15"/>
  <c r="J132" i="15"/>
  <c r="J135" i="15"/>
  <c r="J145" i="15"/>
  <c r="J150" i="15"/>
  <c r="J152" i="15"/>
  <c r="J154" i="15"/>
  <c r="J156" i="15"/>
  <c r="J159" i="15"/>
  <c r="J163" i="15"/>
  <c r="L163" i="15" s="1"/>
  <c r="AC29" i="15"/>
  <c r="AB49" i="15"/>
  <c r="AB18" i="15"/>
  <c r="J101" i="16" l="1"/>
  <c r="L39" i="16"/>
  <c r="L40" i="16"/>
  <c r="L24" i="16"/>
  <c r="L22" i="16"/>
  <c r="J164" i="15"/>
  <c r="L152" i="15"/>
  <c r="L116" i="15"/>
  <c r="L69" i="15"/>
  <c r="L49" i="15"/>
  <c r="L25" i="15"/>
  <c r="L46" i="15"/>
  <c r="L110" i="15"/>
  <c r="L86" i="15"/>
  <c r="L63" i="15"/>
  <c r="L44" i="15"/>
  <c r="L21" i="15"/>
  <c r="L150" i="15"/>
  <c r="L23" i="15"/>
  <c r="L107" i="15"/>
  <c r="L82" i="15"/>
  <c r="L61" i="15"/>
  <c r="L36" i="15"/>
  <c r="L20" i="15"/>
  <c r="L113" i="15"/>
  <c r="L132" i="15"/>
  <c r="L105" i="15"/>
  <c r="L79" i="15"/>
  <c r="L58" i="15"/>
  <c r="L33" i="15"/>
  <c r="L19" i="15"/>
  <c r="L159" i="15"/>
  <c r="L125" i="15"/>
  <c r="L100" i="15"/>
  <c r="L77" i="15"/>
  <c r="L56" i="15"/>
  <c r="L32" i="15"/>
  <c r="L13" i="15"/>
  <c r="L88" i="15"/>
  <c r="L145" i="15"/>
  <c r="L156" i="15"/>
  <c r="L123" i="15"/>
  <c r="L98" i="15"/>
  <c r="L74" i="15"/>
  <c r="L54" i="15"/>
  <c r="L29" i="15"/>
  <c r="L12" i="15"/>
  <c r="L65" i="15"/>
  <c r="L135" i="15"/>
  <c r="L154" i="15"/>
  <c r="L122" i="15"/>
  <c r="L97" i="15"/>
  <c r="L72" i="15"/>
  <c r="L51" i="15"/>
  <c r="L27" i="15"/>
  <c r="L10" i="15"/>
  <c r="AE17" i="16"/>
  <c r="AE21" i="16"/>
  <c r="L86" i="16"/>
  <c r="AD29" i="15"/>
  <c r="L101" i="16" l="1"/>
  <c r="I69" i="10" s="1"/>
  <c r="M105" i="16"/>
  <c r="L110" i="16"/>
  <c r="L164" i="15"/>
  <c r="I63" i="10" s="1"/>
  <c r="N15" i="10" l="1"/>
  <c r="P15" i="10" s="1"/>
  <c r="I71" i="10"/>
  <c r="M173" i="15"/>
  <c r="L105" i="16"/>
  <c r="L80" i="13" l="1"/>
  <c r="J12" i="13"/>
  <c r="L12" i="13" s="1"/>
  <c r="J24" i="13"/>
  <c r="L24" i="13" s="1"/>
  <c r="J22" i="13"/>
  <c r="I54" i="13"/>
  <c r="I73" i="13" s="1"/>
  <c r="L22" i="13" l="1"/>
  <c r="L167" i="15"/>
  <c r="J53" i="13"/>
  <c r="L53" i="13" l="1"/>
  <c r="H22" i="6"/>
  <c r="B65" i="10" l="1"/>
  <c r="C64" i="10" l="1"/>
  <c r="D64" i="10" s="1"/>
  <c r="F64" i="10" s="1"/>
  <c r="O49" i="10" s="1"/>
  <c r="C63" i="10"/>
  <c r="D63" i="10" s="1"/>
  <c r="F63" i="10" s="1"/>
  <c r="O14" i="10" s="1"/>
  <c r="H64" i="10"/>
  <c r="J11" i="11"/>
  <c r="L11" i="11" s="1"/>
  <c r="K95" i="11"/>
  <c r="J93" i="11"/>
  <c r="J91" i="11"/>
  <c r="J85" i="11"/>
  <c r="J83" i="11"/>
  <c r="J79" i="11"/>
  <c r="J78" i="11"/>
  <c r="J77" i="11"/>
  <c r="J72" i="11"/>
  <c r="J69" i="11"/>
  <c r="J67" i="11"/>
  <c r="J65" i="11"/>
  <c r="J62" i="11"/>
  <c r="J57" i="11"/>
  <c r="J54" i="11"/>
  <c r="J53" i="11"/>
  <c r="J52" i="11"/>
  <c r="J50" i="11"/>
  <c r="J47" i="11"/>
  <c r="J43" i="11"/>
  <c r="J39" i="11"/>
  <c r="J36" i="11"/>
  <c r="J33" i="11"/>
  <c r="L33" i="11" s="1"/>
  <c r="J32" i="11"/>
  <c r="J30" i="11"/>
  <c r="L30" i="11" s="1"/>
  <c r="J28" i="11"/>
  <c r="L28" i="11" s="1"/>
  <c r="J25" i="11"/>
  <c r="J22" i="11"/>
  <c r="J20" i="11"/>
  <c r="J18" i="11"/>
  <c r="J15" i="11"/>
  <c r="I95" i="11"/>
  <c r="J12" i="11"/>
  <c r="J33" i="13"/>
  <c r="J29" i="13"/>
  <c r="L29" i="13" s="1"/>
  <c r="L47" i="11" l="1"/>
  <c r="L67" i="11"/>
  <c r="L93" i="11"/>
  <c r="L91" i="11"/>
  <c r="L53" i="11"/>
  <c r="L62" i="11"/>
  <c r="L25" i="11"/>
  <c r="L18" i="11"/>
  <c r="L57" i="11"/>
  <c r="L39" i="11"/>
  <c r="L22" i="11"/>
  <c r="L43" i="11"/>
  <c r="L85" i="11"/>
  <c r="F65" i="10"/>
  <c r="C65" i="10"/>
  <c r="D65" i="10"/>
  <c r="L83" i="11"/>
  <c r="L32" i="11"/>
  <c r="L79" i="11"/>
  <c r="L12" i="11"/>
  <c r="L78" i="11"/>
  <c r="L77" i="11"/>
  <c r="L72" i="11"/>
  <c r="L69" i="11"/>
  <c r="L65" i="11"/>
  <c r="L54" i="11"/>
  <c r="L52" i="11"/>
  <c r="L50" i="11"/>
  <c r="L36" i="11"/>
  <c r="L20" i="11"/>
  <c r="J95" i="11"/>
  <c r="L15" i="11"/>
  <c r="L95" i="11" l="1"/>
  <c r="I43" i="10" s="1"/>
  <c r="I65" i="10" l="1"/>
  <c r="N14" i="10"/>
  <c r="J69" i="13"/>
  <c r="J59" i="13"/>
  <c r="J57" i="13"/>
  <c r="J55" i="13"/>
  <c r="J50" i="13"/>
  <c r="J47" i="13"/>
  <c r="J43" i="13"/>
  <c r="J40" i="13"/>
  <c r="J36" i="13"/>
  <c r="L33" i="13"/>
  <c r="J28" i="13"/>
  <c r="J20" i="13"/>
  <c r="J10" i="13"/>
  <c r="J73" i="13" l="1"/>
  <c r="L36" i="13"/>
  <c r="L69" i="13"/>
  <c r="L63" i="13"/>
  <c r="L47" i="13"/>
  <c r="L40" i="13"/>
  <c r="L10" i="13"/>
  <c r="L59" i="13"/>
  <c r="L43" i="13"/>
  <c r="L50" i="13"/>
  <c r="L20" i="13"/>
  <c r="L28" i="13"/>
  <c r="L57" i="13"/>
  <c r="L55" i="13"/>
  <c r="P14" i="10"/>
  <c r="K111" i="8"/>
  <c r="L73" i="13" l="1"/>
  <c r="M80" i="13" s="1"/>
  <c r="J11" i="8"/>
  <c r="J111" i="8" s="1"/>
  <c r="J38" i="2" l="1"/>
  <c r="J28" i="2"/>
  <c r="J18" i="2"/>
  <c r="J15" i="2"/>
  <c r="M15" i="14" l="1"/>
  <c r="L15" i="14"/>
  <c r="R9" i="14" l="1"/>
  <c r="R11" i="14" s="1"/>
  <c r="M7" i="14" s="1"/>
  <c r="Q9" i="14"/>
  <c r="Q13" i="14" s="1"/>
  <c r="Q11" i="14" l="1"/>
  <c r="N32" i="10" l="1"/>
  <c r="O32" i="10" l="1"/>
  <c r="N49" i="10"/>
  <c r="AM32" i="7"/>
  <c r="AM33" i="7" s="1"/>
  <c r="AM36" i="7" s="1"/>
  <c r="P49" i="10" l="1"/>
  <c r="N65" i="10"/>
  <c r="Q32" i="10"/>
  <c r="O65" i="10"/>
  <c r="AN32" i="7"/>
  <c r="AN33" i="7" s="1"/>
  <c r="AN36" i="7" s="1"/>
  <c r="AL32" i="7"/>
  <c r="AL33" i="7" s="1"/>
  <c r="AL36" i="7" s="1"/>
  <c r="AK32" i="7"/>
  <c r="AK33" i="7" s="1"/>
  <c r="AK36" i="7" s="1"/>
  <c r="AJ32" i="7"/>
  <c r="AJ33" i="7" s="1"/>
  <c r="AI32" i="7"/>
  <c r="AI33" i="7" s="1"/>
  <c r="AI36" i="7" s="1"/>
  <c r="AH32" i="7"/>
  <c r="AH33" i="7" s="1"/>
  <c r="AH36" i="7" s="1"/>
  <c r="AG32" i="7"/>
  <c r="AG33" i="7" s="1"/>
  <c r="AG36" i="7" l="1"/>
  <c r="AJ36" i="7"/>
  <c r="Q49" i="10"/>
  <c r="P65" i="10"/>
  <c r="I165" i="12" l="1"/>
  <c r="K165" i="12"/>
  <c r="K156" i="9"/>
  <c r="J24" i="2"/>
  <c r="L24" i="2" s="1"/>
  <c r="J22" i="2"/>
  <c r="L22" i="2" s="1"/>
  <c r="L18" i="2"/>
  <c r="L15" i="2"/>
  <c r="J165" i="12" l="1"/>
  <c r="L165" i="12"/>
  <c r="I147" i="9" l="1"/>
  <c r="B59" i="10" l="1"/>
  <c r="H58" i="10"/>
  <c r="D58" i="10"/>
  <c r="C57" i="10"/>
  <c r="D57" i="10" s="1"/>
  <c r="C59" i="10" l="1"/>
  <c r="D59" i="10"/>
  <c r="F57" i="10"/>
  <c r="H20" i="6"/>
  <c r="H19" i="6"/>
  <c r="F59" i="10" l="1"/>
  <c r="O13" i="10"/>
  <c r="I57" i="10" l="1"/>
  <c r="N29" i="10"/>
  <c r="N28" i="10"/>
  <c r="N27" i="10"/>
  <c r="N44" i="10" l="1"/>
  <c r="N45" i="10"/>
  <c r="Q29" i="10"/>
  <c r="N46" i="10"/>
  <c r="I59" i="10"/>
  <c r="P46" i="10" l="1"/>
  <c r="Q46" i="10" s="1"/>
  <c r="N62" i="10"/>
  <c r="P62" i="10" s="1"/>
  <c r="N61" i="10"/>
  <c r="N60" i="10"/>
  <c r="N13" i="10"/>
  <c r="P13" i="10" l="1"/>
  <c r="B52" i="10" l="1"/>
  <c r="H51" i="10" l="1"/>
  <c r="D51" i="10"/>
  <c r="C50" i="10"/>
  <c r="C52" i="10" s="1"/>
  <c r="P8" i="20"/>
  <c r="I50" i="10"/>
  <c r="O22" i="20" l="1"/>
  <c r="O66" i="20"/>
  <c r="O104" i="20"/>
  <c r="O34" i="20"/>
  <c r="O79" i="20"/>
  <c r="O47" i="20"/>
  <c r="O53" i="20"/>
  <c r="O58" i="20"/>
  <c r="O16" i="20"/>
  <c r="O100" i="20"/>
  <c r="O25" i="20"/>
  <c r="O67" i="20"/>
  <c r="O107" i="20"/>
  <c r="O44" i="20"/>
  <c r="O82" i="20"/>
  <c r="O91" i="20"/>
  <c r="O14" i="20"/>
  <c r="O98" i="20"/>
  <c r="O28" i="20"/>
  <c r="O69" i="20"/>
  <c r="O109" i="20"/>
  <c r="O32" i="20"/>
  <c r="O73" i="20"/>
  <c r="O110" i="20"/>
  <c r="O74" i="20"/>
  <c r="O76" i="20"/>
  <c r="O93" i="20"/>
  <c r="O18" i="20"/>
  <c r="O40" i="20"/>
  <c r="O45" i="20"/>
  <c r="O86" i="20"/>
  <c r="O57" i="20"/>
  <c r="O96" i="20"/>
  <c r="O62" i="20"/>
  <c r="O64" i="20"/>
  <c r="O10" i="20"/>
  <c r="P8" i="18"/>
  <c r="P8" i="17"/>
  <c r="P8" i="16"/>
  <c r="P8" i="15"/>
  <c r="D50" i="10"/>
  <c r="D52" i="10" s="1"/>
  <c r="P8" i="13"/>
  <c r="P8" i="1"/>
  <c r="P8" i="12"/>
  <c r="I52" i="10"/>
  <c r="K156" i="1"/>
  <c r="I156" i="1"/>
  <c r="I99" i="9"/>
  <c r="I156" i="9" s="1"/>
  <c r="I107" i="2"/>
  <c r="I247" i="3"/>
  <c r="K231" i="4"/>
  <c r="J11" i="4"/>
  <c r="J13" i="4"/>
  <c r="L13" i="4" s="1"/>
  <c r="J15" i="4"/>
  <c r="L15" i="4" s="1"/>
  <c r="J18" i="4"/>
  <c r="L18" i="4" s="1"/>
  <c r="J21" i="4"/>
  <c r="L21" i="4" s="1"/>
  <c r="J23" i="4"/>
  <c r="L23" i="4" s="1"/>
  <c r="J26" i="4"/>
  <c r="L26" i="4" s="1"/>
  <c r="J28" i="4"/>
  <c r="L28" i="4" s="1"/>
  <c r="J31" i="4"/>
  <c r="L31" i="4" s="1"/>
  <c r="J32" i="4"/>
  <c r="L32" i="4" s="1"/>
  <c r="J34" i="4"/>
  <c r="L34" i="4" s="1"/>
  <c r="J36" i="4"/>
  <c r="L36" i="4" s="1"/>
  <c r="J40" i="4"/>
  <c r="L40" i="4" s="1"/>
  <c r="J41" i="4"/>
  <c r="L41" i="4" s="1"/>
  <c r="J42" i="4"/>
  <c r="L42" i="4" s="1"/>
  <c r="J44" i="4"/>
  <c r="L44" i="4" s="1"/>
  <c r="J45" i="4"/>
  <c r="L45" i="4" s="1"/>
  <c r="J49" i="4"/>
  <c r="L49" i="4" s="1"/>
  <c r="J51" i="4"/>
  <c r="L51" i="4"/>
  <c r="J52" i="4"/>
  <c r="L52" i="4" s="1"/>
  <c r="J53" i="4"/>
  <c r="L53" i="4" s="1"/>
  <c r="J54" i="4"/>
  <c r="L54" i="4" s="1"/>
  <c r="J55" i="4"/>
  <c r="L55" i="4" s="1"/>
  <c r="J57" i="4"/>
  <c r="L57" i="4" s="1"/>
  <c r="J59" i="4"/>
  <c r="L59" i="4" s="1"/>
  <c r="J61" i="4"/>
  <c r="L61" i="4" s="1"/>
  <c r="J64" i="4"/>
  <c r="L64" i="4" s="1"/>
  <c r="J66" i="4"/>
  <c r="L66" i="4" s="1"/>
  <c r="J68" i="4"/>
  <c r="L68" i="4" s="1"/>
  <c r="J70" i="4"/>
  <c r="L70" i="4" s="1"/>
  <c r="J72" i="4"/>
  <c r="L72" i="4" s="1"/>
  <c r="J76" i="4"/>
  <c r="L76" i="4" s="1"/>
  <c r="J81" i="4"/>
  <c r="L81" i="4" s="1"/>
  <c r="J82" i="4"/>
  <c r="L82" i="4" s="1"/>
  <c r="J87" i="4"/>
  <c r="L87" i="4" s="1"/>
  <c r="J90" i="4"/>
  <c r="L90" i="4" s="1"/>
  <c r="J92" i="4"/>
  <c r="L92" i="4" s="1"/>
  <c r="J95" i="4"/>
  <c r="L95" i="4" s="1"/>
  <c r="J96" i="4"/>
  <c r="L96" i="4" s="1"/>
  <c r="J98" i="4"/>
  <c r="L98" i="4" s="1"/>
  <c r="J103" i="4"/>
  <c r="L103" i="4" s="1"/>
  <c r="J105" i="4"/>
  <c r="L105" i="4" s="1"/>
  <c r="J108" i="4"/>
  <c r="L108" i="4" s="1"/>
  <c r="J110" i="4"/>
  <c r="L110" i="4" s="1"/>
  <c r="J112" i="4"/>
  <c r="L112" i="4" s="1"/>
  <c r="J114" i="4"/>
  <c r="L114" i="4" s="1"/>
  <c r="J116" i="4"/>
  <c r="L116" i="4" s="1"/>
  <c r="J118" i="4"/>
  <c r="L118" i="4" s="1"/>
  <c r="J120" i="4"/>
  <c r="L120" i="4" s="1"/>
  <c r="J121" i="4"/>
  <c r="L121" i="4" s="1"/>
  <c r="J123" i="4"/>
  <c r="L123" i="4" s="1"/>
  <c r="J126" i="4"/>
  <c r="L126" i="4" s="1"/>
  <c r="J128" i="4"/>
  <c r="L128" i="4" s="1"/>
  <c r="J129" i="4"/>
  <c r="L129" i="4" s="1"/>
  <c r="J131" i="4"/>
  <c r="L131" i="4" s="1"/>
  <c r="J132" i="4"/>
  <c r="L132" i="4" s="1"/>
  <c r="J135" i="4"/>
  <c r="L135" i="4" s="1"/>
  <c r="J137" i="4"/>
  <c r="L137" i="4" s="1"/>
  <c r="J139" i="4"/>
  <c r="L139" i="4" s="1"/>
  <c r="J140" i="4"/>
  <c r="L140" i="4" s="1"/>
  <c r="J143" i="4"/>
  <c r="L143" i="4" s="1"/>
  <c r="J145" i="4"/>
  <c r="L145" i="4" s="1"/>
  <c r="J149" i="4"/>
  <c r="L149" i="4" s="1"/>
  <c r="J152" i="4"/>
  <c r="L152" i="4" s="1"/>
  <c r="J154" i="4"/>
  <c r="L154" i="4" s="1"/>
  <c r="J156" i="4"/>
  <c r="L156" i="4" s="1"/>
  <c r="J157" i="4"/>
  <c r="L157" i="4" s="1"/>
  <c r="J158" i="4"/>
  <c r="L158" i="4" s="1"/>
  <c r="J160" i="4"/>
  <c r="L160" i="4" s="1"/>
  <c r="J162" i="4"/>
  <c r="L162" i="4" s="1"/>
  <c r="J165" i="4"/>
  <c r="L165" i="4"/>
  <c r="J166" i="4"/>
  <c r="L166" i="4" s="1"/>
  <c r="J168" i="4"/>
  <c r="L168" i="4" s="1"/>
  <c r="J170" i="4"/>
  <c r="L170" i="4" s="1"/>
  <c r="J172" i="4"/>
  <c r="L172" i="4" s="1"/>
  <c r="J174" i="4"/>
  <c r="L174" i="4" s="1"/>
  <c r="J176" i="4"/>
  <c r="L176" i="4" s="1"/>
  <c r="J178" i="4"/>
  <c r="L178" i="4" s="1"/>
  <c r="J180" i="4"/>
  <c r="L180" i="4" s="1"/>
  <c r="J184" i="4"/>
  <c r="L184" i="4" s="1"/>
  <c r="J188" i="4"/>
  <c r="L188" i="4" s="1"/>
  <c r="J190" i="4"/>
  <c r="L190" i="4" s="1"/>
  <c r="J192" i="4"/>
  <c r="L192" i="4" s="1"/>
  <c r="J193" i="4"/>
  <c r="L193" i="4" s="1"/>
  <c r="J195" i="4"/>
  <c r="L195" i="4" s="1"/>
  <c r="J198" i="4"/>
  <c r="L198" i="4" s="1"/>
  <c r="J203" i="4"/>
  <c r="L203" i="4" s="1"/>
  <c r="J206" i="4"/>
  <c r="L206" i="4" s="1"/>
  <c r="J208" i="4"/>
  <c r="L208" i="4" s="1"/>
  <c r="J210" i="4"/>
  <c r="L210" i="4" s="1"/>
  <c r="J212" i="4"/>
  <c r="L212" i="4" s="1"/>
  <c r="J214" i="4"/>
  <c r="L214" i="4" s="1"/>
  <c r="J216" i="4"/>
  <c r="L216" i="4" s="1"/>
  <c r="J218" i="4"/>
  <c r="L218" i="4" s="1"/>
  <c r="J220" i="4"/>
  <c r="L220" i="4" s="1"/>
  <c r="J222" i="4"/>
  <c r="L222" i="4" s="1"/>
  <c r="J224" i="4"/>
  <c r="L224" i="4" s="1"/>
  <c r="J226" i="4"/>
  <c r="L226" i="4" s="1"/>
  <c r="J228" i="4"/>
  <c r="L228" i="4" s="1"/>
  <c r="L229" i="4"/>
  <c r="J230" i="4"/>
  <c r="L230" i="4" s="1"/>
  <c r="J11" i="5"/>
  <c r="J13" i="5"/>
  <c r="L13" i="5" s="1"/>
  <c r="J15" i="5"/>
  <c r="L15" i="5" s="1"/>
  <c r="J17" i="5"/>
  <c r="L17" i="5" s="1"/>
  <c r="J19" i="5"/>
  <c r="L19" i="5" s="1"/>
  <c r="J21" i="5"/>
  <c r="L21" i="5" s="1"/>
  <c r="J23" i="5"/>
  <c r="L23" i="5" s="1"/>
  <c r="J26" i="5"/>
  <c r="L26" i="5" s="1"/>
  <c r="J28" i="5"/>
  <c r="J31" i="5"/>
  <c r="L31" i="5" s="1"/>
  <c r="J35" i="5"/>
  <c r="L35" i="5" s="1"/>
  <c r="J37" i="5"/>
  <c r="L37" i="5" s="1"/>
  <c r="J41" i="5"/>
  <c r="L41" i="5" s="1"/>
  <c r="J43" i="5"/>
  <c r="L43" i="5" s="1"/>
  <c r="J46" i="5"/>
  <c r="L46" i="5" s="1"/>
  <c r="J47" i="5"/>
  <c r="L47" i="5" s="1"/>
  <c r="J52" i="5"/>
  <c r="J54" i="5"/>
  <c r="L54" i="5" s="1"/>
  <c r="J56" i="5"/>
  <c r="L56" i="5" s="1"/>
  <c r="J58" i="5"/>
  <c r="L58" i="5" s="1"/>
  <c r="J61" i="5"/>
  <c r="L61" i="5" s="1"/>
  <c r="J62" i="5"/>
  <c r="L62" i="5" s="1"/>
  <c r="J63" i="5"/>
  <c r="L63" i="5" s="1"/>
  <c r="J65" i="5"/>
  <c r="L65" i="5" s="1"/>
  <c r="J67" i="5"/>
  <c r="J69" i="5"/>
  <c r="L69" i="5" s="1"/>
  <c r="J72" i="5"/>
  <c r="L72" i="5" s="1"/>
  <c r="J73" i="5"/>
  <c r="L73" i="5" s="1"/>
  <c r="J75" i="5"/>
  <c r="L75" i="5" s="1"/>
  <c r="J78" i="5"/>
  <c r="L78" i="5" s="1"/>
  <c r="J79" i="5"/>
  <c r="L79" i="5" s="1"/>
  <c r="J81" i="5"/>
  <c r="L81" i="5" s="1"/>
  <c r="J83" i="5"/>
  <c r="J87" i="5"/>
  <c r="J89" i="5"/>
  <c r="L89" i="5" s="1"/>
  <c r="J93" i="5"/>
  <c r="L93" i="5" s="1"/>
  <c r="J95" i="5"/>
  <c r="L95" i="5" s="1"/>
  <c r="J97" i="5"/>
  <c r="L97" i="5" s="1"/>
  <c r="J100" i="5"/>
  <c r="L100" i="5" s="1"/>
  <c r="J103" i="5"/>
  <c r="L103" i="5" s="1"/>
  <c r="J107" i="5"/>
  <c r="J109" i="5"/>
  <c r="L109" i="5" s="1"/>
  <c r="J111" i="5"/>
  <c r="L111" i="5" s="1"/>
  <c r="J113" i="5"/>
  <c r="L113" i="5" s="1"/>
  <c r="J115" i="5"/>
  <c r="L115" i="5" s="1"/>
  <c r="J117" i="5"/>
  <c r="L117" i="5" s="1"/>
  <c r="J119" i="5"/>
  <c r="L119" i="5" s="1"/>
  <c r="J121" i="5"/>
  <c r="L121" i="5" s="1"/>
  <c r="J123" i="5"/>
  <c r="J125" i="5"/>
  <c r="L125" i="5" s="1"/>
  <c r="J130" i="5"/>
  <c r="L130" i="5" s="1"/>
  <c r="K132" i="5"/>
  <c r="L11" i="5"/>
  <c r="L28" i="5"/>
  <c r="L52" i="5"/>
  <c r="L67" i="5"/>
  <c r="L83" i="5"/>
  <c r="L87" i="5"/>
  <c r="L107" i="5"/>
  <c r="L123" i="5"/>
  <c r="I132" i="5"/>
  <c r="P8" i="11"/>
  <c r="O10" i="11" s="1"/>
  <c r="J12" i="9"/>
  <c r="L12" i="9" s="1"/>
  <c r="J15" i="9"/>
  <c r="J18" i="9"/>
  <c r="L18" i="9" s="1"/>
  <c r="J20" i="9"/>
  <c r="L20" i="9" s="1"/>
  <c r="J23" i="9"/>
  <c r="L23" i="9" s="1"/>
  <c r="J27" i="9"/>
  <c r="L27" i="9" s="1"/>
  <c r="J29" i="9"/>
  <c r="L29" i="9" s="1"/>
  <c r="J31" i="9"/>
  <c r="J36" i="9"/>
  <c r="L36" i="9" s="1"/>
  <c r="J38" i="9"/>
  <c r="J41" i="9"/>
  <c r="L41" i="9" s="1"/>
  <c r="J43" i="9"/>
  <c r="L43" i="9" s="1"/>
  <c r="J48" i="9"/>
  <c r="L48" i="9" s="1"/>
  <c r="J52" i="9"/>
  <c r="L52" i="9" s="1"/>
  <c r="J57" i="9"/>
  <c r="L57" i="9" s="1"/>
  <c r="J60" i="9"/>
  <c r="L60" i="9" s="1"/>
  <c r="J62" i="9"/>
  <c r="L62" i="9" s="1"/>
  <c r="J66" i="9"/>
  <c r="J70" i="9"/>
  <c r="L70" i="9" s="1"/>
  <c r="J72" i="9"/>
  <c r="L72" i="9" s="1"/>
  <c r="J74" i="9"/>
  <c r="L74" i="9" s="1"/>
  <c r="J80" i="9"/>
  <c r="L80" i="9" s="1"/>
  <c r="J82" i="9"/>
  <c r="L82" i="9" s="1"/>
  <c r="J85" i="9"/>
  <c r="L85" i="9" s="1"/>
  <c r="J87" i="9"/>
  <c r="L87" i="9" s="1"/>
  <c r="J90" i="9"/>
  <c r="J92" i="9"/>
  <c r="L92" i="9" s="1"/>
  <c r="J96" i="9"/>
  <c r="L96" i="9" s="1"/>
  <c r="J97" i="9"/>
  <c r="L97" i="9" s="1"/>
  <c r="J100" i="9"/>
  <c r="L100" i="9" s="1"/>
  <c r="J103" i="9"/>
  <c r="L103" i="9" s="1"/>
  <c r="J106" i="9"/>
  <c r="L106" i="9" s="1"/>
  <c r="J111" i="9"/>
  <c r="L111" i="9" s="1"/>
  <c r="J113" i="9"/>
  <c r="J116" i="9"/>
  <c r="L116" i="9" s="1"/>
  <c r="J119" i="9"/>
  <c r="L119" i="9" s="1"/>
  <c r="J125" i="9"/>
  <c r="L125" i="9" s="1"/>
  <c r="J127" i="9"/>
  <c r="L127" i="9" s="1"/>
  <c r="J129" i="9"/>
  <c r="L129" i="9" s="1"/>
  <c r="J131" i="9"/>
  <c r="L131" i="9" s="1"/>
  <c r="J133" i="9"/>
  <c r="L133" i="9" s="1"/>
  <c r="J137" i="9"/>
  <c r="J139" i="9"/>
  <c r="L139" i="9" s="1"/>
  <c r="J141" i="9"/>
  <c r="J145" i="9"/>
  <c r="L145" i="9" s="1"/>
  <c r="J147" i="9"/>
  <c r="L147" i="9" s="1"/>
  <c r="J150" i="9"/>
  <c r="L150" i="9" s="1"/>
  <c r="J151" i="9"/>
  <c r="L151" i="9" s="1"/>
  <c r="J152" i="9"/>
  <c r="L152" i="9" s="1"/>
  <c r="J153" i="9"/>
  <c r="J155" i="9"/>
  <c r="L155" i="9" s="1"/>
  <c r="L15" i="9"/>
  <c r="L38" i="9"/>
  <c r="L66" i="9"/>
  <c r="L90" i="9"/>
  <c r="L113" i="9"/>
  <c r="L137" i="9"/>
  <c r="L141" i="9"/>
  <c r="L153" i="9"/>
  <c r="P8" i="9"/>
  <c r="J34" i="2"/>
  <c r="J41" i="2"/>
  <c r="L41" i="2" s="1"/>
  <c r="J45" i="2"/>
  <c r="J47" i="2"/>
  <c r="L47" i="2" s="1"/>
  <c r="J49" i="2"/>
  <c r="L49" i="2" s="1"/>
  <c r="J53" i="2"/>
  <c r="L53" i="2" s="1"/>
  <c r="J55" i="2"/>
  <c r="L55" i="2" s="1"/>
  <c r="J57" i="2"/>
  <c r="J59" i="2"/>
  <c r="L59" i="2" s="1"/>
  <c r="J60" i="2"/>
  <c r="L60" i="2" s="1"/>
  <c r="J63" i="2"/>
  <c r="J64" i="2"/>
  <c r="L64" i="2" s="1"/>
  <c r="J68" i="2"/>
  <c r="L68" i="2" s="1"/>
  <c r="J72" i="2"/>
  <c r="L72" i="2" s="1"/>
  <c r="J75" i="2"/>
  <c r="L75" i="2" s="1"/>
  <c r="J82" i="2"/>
  <c r="J84" i="2"/>
  <c r="L84" i="2" s="1"/>
  <c r="J86" i="2"/>
  <c r="L86" i="2" s="1"/>
  <c r="J87" i="2"/>
  <c r="J89" i="2"/>
  <c r="L89" i="2" s="1"/>
  <c r="J91" i="2"/>
  <c r="L91" i="2" s="1"/>
  <c r="J93" i="2"/>
  <c r="L93" i="2" s="1"/>
  <c r="J94" i="2"/>
  <c r="L94" i="2" s="1"/>
  <c r="J97" i="2"/>
  <c r="J102" i="2"/>
  <c r="J104" i="2"/>
  <c r="L104" i="2" s="1"/>
  <c r="J106" i="2"/>
  <c r="K107" i="2"/>
  <c r="L28" i="2"/>
  <c r="L34" i="2"/>
  <c r="L38" i="2"/>
  <c r="L45" i="2"/>
  <c r="L57" i="2"/>
  <c r="L63" i="2"/>
  <c r="L82" i="2"/>
  <c r="L87" i="2"/>
  <c r="L97" i="2"/>
  <c r="L102" i="2"/>
  <c r="L103" i="2"/>
  <c r="L106" i="2"/>
  <c r="J11" i="1"/>
  <c r="J13" i="1"/>
  <c r="L13" i="1" s="1"/>
  <c r="J14" i="1"/>
  <c r="L14" i="1" s="1"/>
  <c r="J16" i="1"/>
  <c r="L16" i="1" s="1"/>
  <c r="J18" i="1"/>
  <c r="L18" i="1" s="1"/>
  <c r="J21" i="1"/>
  <c r="L21" i="1" s="1"/>
  <c r="J23" i="1"/>
  <c r="L23" i="1" s="1"/>
  <c r="J28" i="1"/>
  <c r="L28" i="1" s="1"/>
  <c r="J30" i="1"/>
  <c r="L30" i="1" s="1"/>
  <c r="J32" i="1"/>
  <c r="L32" i="1" s="1"/>
  <c r="J33" i="1"/>
  <c r="L33" i="1" s="1"/>
  <c r="J36" i="1"/>
  <c r="L36" i="1" s="1"/>
  <c r="J38" i="1"/>
  <c r="L38" i="1" s="1"/>
  <c r="J39" i="1"/>
  <c r="L39" i="1" s="1"/>
  <c r="J41" i="1"/>
  <c r="L41" i="1" s="1"/>
  <c r="J43" i="1"/>
  <c r="L43" i="1" s="1"/>
  <c r="J45" i="1"/>
  <c r="L45" i="1" s="1"/>
  <c r="J47" i="1"/>
  <c r="L47" i="1" s="1"/>
  <c r="J48" i="1"/>
  <c r="L48" i="1" s="1"/>
  <c r="J50" i="1"/>
  <c r="L50" i="1" s="1"/>
  <c r="J52" i="1"/>
  <c r="L52" i="1" s="1"/>
  <c r="J54" i="1"/>
  <c r="L54" i="1" s="1"/>
  <c r="J56" i="1"/>
  <c r="L56" i="1" s="1"/>
  <c r="J58" i="1"/>
  <c r="L58" i="1" s="1"/>
  <c r="J60" i="1"/>
  <c r="L60" i="1" s="1"/>
  <c r="J64" i="1"/>
  <c r="L64" i="1" s="1"/>
  <c r="J67" i="1"/>
  <c r="L67" i="1" s="1"/>
  <c r="J69" i="1"/>
  <c r="L69" i="1" s="1"/>
  <c r="J71" i="1"/>
  <c r="L71" i="1" s="1"/>
  <c r="J73" i="1"/>
  <c r="L73" i="1" s="1"/>
  <c r="J77" i="1"/>
  <c r="L77" i="1" s="1"/>
  <c r="J80" i="1"/>
  <c r="L80" i="1" s="1"/>
  <c r="J82" i="1"/>
  <c r="L82" i="1" s="1"/>
  <c r="J83" i="1"/>
  <c r="L83" i="1" s="1"/>
  <c r="J86" i="1"/>
  <c r="L86" i="1" s="1"/>
  <c r="J88" i="1"/>
  <c r="L88" i="1" s="1"/>
  <c r="J89" i="1"/>
  <c r="L89" i="1" s="1"/>
  <c r="J91" i="1"/>
  <c r="L91" i="1" s="1"/>
  <c r="J93" i="1"/>
  <c r="L93" i="1" s="1"/>
  <c r="J95" i="1"/>
  <c r="L95" i="1" s="1"/>
  <c r="J97" i="1"/>
  <c r="L97" i="1" s="1"/>
  <c r="J100" i="1"/>
  <c r="L100" i="1" s="1"/>
  <c r="J103" i="1"/>
  <c r="L103" i="1" s="1"/>
  <c r="J104" i="1"/>
  <c r="L104" i="1" s="1"/>
  <c r="J106" i="1"/>
  <c r="L106" i="1" s="1"/>
  <c r="J109" i="1"/>
  <c r="L109" i="1" s="1"/>
  <c r="J111" i="1"/>
  <c r="L111" i="1" s="1"/>
  <c r="J113" i="1"/>
  <c r="L113" i="1" s="1"/>
  <c r="J115" i="1"/>
  <c r="L115" i="1" s="1"/>
  <c r="J117" i="1"/>
  <c r="L117" i="1" s="1"/>
  <c r="J120" i="1"/>
  <c r="L120" i="1" s="1"/>
  <c r="J124" i="1"/>
  <c r="L124" i="1" s="1"/>
  <c r="J126" i="1"/>
  <c r="L126" i="1" s="1"/>
  <c r="J128" i="1"/>
  <c r="L128" i="1" s="1"/>
  <c r="J132" i="1"/>
  <c r="J133" i="1"/>
  <c r="L133" i="1" s="1"/>
  <c r="J136" i="1"/>
  <c r="L136" i="1" s="1"/>
  <c r="J138" i="1"/>
  <c r="L138" i="1" s="1"/>
  <c r="J140" i="1"/>
  <c r="L140" i="1" s="1"/>
  <c r="J142" i="1"/>
  <c r="L142" i="1" s="1"/>
  <c r="J144" i="1"/>
  <c r="L144" i="1" s="1"/>
  <c r="J146" i="1"/>
  <c r="L146" i="1" s="1"/>
  <c r="J150" i="1"/>
  <c r="L150" i="1" s="1"/>
  <c r="J153" i="1"/>
  <c r="L153" i="1" s="1"/>
  <c r="J155" i="1"/>
  <c r="L155" i="1" s="1"/>
  <c r="P8" i="8"/>
  <c r="O18" i="8" s="1"/>
  <c r="P8" i="2"/>
  <c r="J11" i="3"/>
  <c r="L11" i="3" s="1"/>
  <c r="P8" i="3"/>
  <c r="J14" i="3"/>
  <c r="J16" i="3"/>
  <c r="L16" i="3" s="1"/>
  <c r="J17" i="3"/>
  <c r="L17" i="3" s="1"/>
  <c r="J18" i="3"/>
  <c r="L18" i="3" s="1"/>
  <c r="J20" i="3"/>
  <c r="L20" i="3" s="1"/>
  <c r="J21" i="3"/>
  <c r="J23" i="3"/>
  <c r="L23" i="3" s="1"/>
  <c r="J25" i="3"/>
  <c r="L25" i="3" s="1"/>
  <c r="J27" i="3"/>
  <c r="J30" i="3"/>
  <c r="J32" i="3"/>
  <c r="L32" i="3" s="1"/>
  <c r="J34" i="3"/>
  <c r="L34" i="3" s="1"/>
  <c r="J38" i="3"/>
  <c r="L38" i="3" s="1"/>
  <c r="J40" i="3"/>
  <c r="J42" i="3"/>
  <c r="J44" i="3"/>
  <c r="L44" i="3" s="1"/>
  <c r="J46" i="3"/>
  <c r="J48" i="3"/>
  <c r="L48" i="3" s="1"/>
  <c r="J49" i="3"/>
  <c r="L49" i="3" s="1"/>
  <c r="J51" i="3"/>
  <c r="L51" i="3" s="1"/>
  <c r="J53" i="3"/>
  <c r="L53" i="3" s="1"/>
  <c r="J55" i="3"/>
  <c r="J57" i="3"/>
  <c r="L57" i="3" s="1"/>
  <c r="J58" i="3"/>
  <c r="L58" i="3" s="1"/>
  <c r="J60" i="3"/>
  <c r="J62" i="3"/>
  <c r="L62" i="3" s="1"/>
  <c r="J64" i="3"/>
  <c r="L64" i="3" s="1"/>
  <c r="J66" i="3"/>
  <c r="L66" i="3" s="1"/>
  <c r="J67" i="3"/>
  <c r="L67" i="3" s="1"/>
  <c r="J70" i="3"/>
  <c r="J73" i="3"/>
  <c r="J76" i="3"/>
  <c r="L76" i="3" s="1"/>
  <c r="J78" i="3"/>
  <c r="J80" i="3"/>
  <c r="L80" i="3" s="1"/>
  <c r="J83" i="3"/>
  <c r="J85" i="3"/>
  <c r="L85" i="3" s="1"/>
  <c r="J90" i="3"/>
  <c r="L90" i="3" s="1"/>
  <c r="J93" i="3"/>
  <c r="J95" i="3"/>
  <c r="L95" i="3" s="1"/>
  <c r="J97" i="3"/>
  <c r="L97" i="3" s="1"/>
  <c r="J99" i="3"/>
  <c r="J101" i="3"/>
  <c r="L101" i="3" s="1"/>
  <c r="J103" i="3"/>
  <c r="L103" i="3" s="1"/>
  <c r="J104" i="3"/>
  <c r="L104" i="3" s="1"/>
  <c r="J107" i="3"/>
  <c r="J109" i="3"/>
  <c r="J111" i="3"/>
  <c r="L111" i="3" s="1"/>
  <c r="J114" i="3"/>
  <c r="L114" i="3" s="1"/>
  <c r="J116" i="3"/>
  <c r="J118" i="3"/>
  <c r="L118" i="3" s="1"/>
  <c r="J120" i="3"/>
  <c r="L120" i="3" s="1"/>
  <c r="J123" i="3"/>
  <c r="L123" i="3" s="1"/>
  <c r="J125" i="3"/>
  <c r="L125" i="3" s="1"/>
  <c r="J126" i="3"/>
  <c r="J128" i="3"/>
  <c r="J130" i="3"/>
  <c r="L130" i="3" s="1"/>
  <c r="J131" i="3"/>
  <c r="J133" i="3"/>
  <c r="L133" i="3" s="1"/>
  <c r="J136" i="3"/>
  <c r="L136" i="3" s="1"/>
  <c r="J137" i="3"/>
  <c r="L137" i="3" s="1"/>
  <c r="J141" i="3"/>
  <c r="J143" i="3"/>
  <c r="J147" i="3"/>
  <c r="L147" i="3" s="1"/>
  <c r="J149" i="3"/>
  <c r="L149" i="3" s="1"/>
  <c r="J152" i="3"/>
  <c r="J154" i="3"/>
  <c r="L154" i="3" s="1"/>
  <c r="J156" i="3"/>
  <c r="L156" i="3" s="1"/>
  <c r="J159" i="3"/>
  <c r="L159" i="3" s="1"/>
  <c r="J162" i="3"/>
  <c r="L162" i="3" s="1"/>
  <c r="J163" i="3"/>
  <c r="J165" i="3"/>
  <c r="L165" i="3" s="1"/>
  <c r="J167" i="3"/>
  <c r="L167" i="3" s="1"/>
  <c r="J169" i="3"/>
  <c r="J171" i="3"/>
  <c r="L171" i="3" s="1"/>
  <c r="J173" i="3"/>
  <c r="L173" i="3" s="1"/>
  <c r="J175" i="3"/>
  <c r="L175" i="3" s="1"/>
  <c r="J179" i="3"/>
  <c r="L179" i="3" s="1"/>
  <c r="J180" i="3"/>
  <c r="J183" i="3"/>
  <c r="L183" i="3" s="1"/>
  <c r="J184" i="3"/>
  <c r="L184" i="3" s="1"/>
  <c r="J186" i="3"/>
  <c r="J187" i="3"/>
  <c r="L187" i="3" s="1"/>
  <c r="J189" i="3"/>
  <c r="L189" i="3" s="1"/>
  <c r="J191" i="3"/>
  <c r="L191" i="3" s="1"/>
  <c r="J193" i="3"/>
  <c r="L193" i="3" s="1"/>
  <c r="J195" i="3"/>
  <c r="J197" i="3"/>
  <c r="L197" i="3" s="1"/>
  <c r="J199" i="3"/>
  <c r="L199" i="3" s="1"/>
  <c r="J201" i="3"/>
  <c r="J203" i="3"/>
  <c r="L203" i="3" s="1"/>
  <c r="J205" i="3"/>
  <c r="L205" i="3" s="1"/>
  <c r="J207" i="3"/>
  <c r="L207" i="3" s="1"/>
  <c r="J211" i="3"/>
  <c r="L211" i="3" s="1"/>
  <c r="J213" i="3"/>
  <c r="J215" i="3"/>
  <c r="J217" i="3"/>
  <c r="L217" i="3" s="1"/>
  <c r="J218" i="3"/>
  <c r="J220" i="3"/>
  <c r="J222" i="3"/>
  <c r="L222" i="3" s="1"/>
  <c r="J224" i="3"/>
  <c r="L224" i="3" s="1"/>
  <c r="J225" i="3"/>
  <c r="L225" i="3" s="1"/>
  <c r="J228" i="3"/>
  <c r="J229" i="3"/>
  <c r="J231" i="3"/>
  <c r="L231" i="3" s="1"/>
  <c r="J234" i="3"/>
  <c r="J237" i="3"/>
  <c r="L237" i="3" s="1"/>
  <c r="J239" i="3"/>
  <c r="L239" i="3" s="1"/>
  <c r="J242" i="3"/>
  <c r="L242" i="3" s="1"/>
  <c r="J244" i="3"/>
  <c r="J246" i="3"/>
  <c r="P8" i="4"/>
  <c r="R8" i="5"/>
  <c r="L14" i="3"/>
  <c r="L21" i="3"/>
  <c r="L27" i="3"/>
  <c r="L30" i="3"/>
  <c r="L40" i="3"/>
  <c r="L42" i="3"/>
  <c r="L46" i="3"/>
  <c r="L55" i="3"/>
  <c r="L60" i="3"/>
  <c r="L70" i="3"/>
  <c r="L73" i="3"/>
  <c r="L78" i="3"/>
  <c r="L83" i="3"/>
  <c r="L93" i="3"/>
  <c r="L99" i="3"/>
  <c r="L107" i="3"/>
  <c r="L109" i="3"/>
  <c r="L116" i="3"/>
  <c r="L126" i="3"/>
  <c r="L128" i="3"/>
  <c r="L131" i="3"/>
  <c r="L141" i="3"/>
  <c r="L143" i="3"/>
  <c r="L152" i="3"/>
  <c r="L163" i="3"/>
  <c r="L169" i="3"/>
  <c r="L180" i="3"/>
  <c r="L186" i="3"/>
  <c r="L195" i="3"/>
  <c r="L201" i="3"/>
  <c r="L213" i="3"/>
  <c r="L215" i="3"/>
  <c r="L218" i="3"/>
  <c r="L220" i="3"/>
  <c r="L228" i="3"/>
  <c r="L229" i="3"/>
  <c r="L234" i="3"/>
  <c r="L244" i="3"/>
  <c r="L246" i="3"/>
  <c r="D5" i="10"/>
  <c r="F5" i="10" s="1"/>
  <c r="O5" i="10" s="1"/>
  <c r="D11" i="10"/>
  <c r="F11" i="10" s="1"/>
  <c r="D17" i="10"/>
  <c r="D23" i="10"/>
  <c r="E23" i="10"/>
  <c r="D36" i="10"/>
  <c r="F36" i="10" s="1"/>
  <c r="D44" i="10"/>
  <c r="C43" i="10"/>
  <c r="C38" i="10"/>
  <c r="B38" i="10"/>
  <c r="D37" i="10"/>
  <c r="F37" i="10" s="1"/>
  <c r="O45" i="10" s="1"/>
  <c r="E31" i="10"/>
  <c r="C31" i="10"/>
  <c r="B30" i="10"/>
  <c r="D30" i="10"/>
  <c r="F30" i="10" s="1"/>
  <c r="O44" i="10" s="1"/>
  <c r="B29" i="10"/>
  <c r="C25" i="10"/>
  <c r="B25" i="10"/>
  <c r="D24" i="10"/>
  <c r="F24" i="10" s="1"/>
  <c r="O43" i="10" s="1"/>
  <c r="E19" i="10"/>
  <c r="C19" i="10"/>
  <c r="B19" i="10"/>
  <c r="D18" i="10"/>
  <c r="F18" i="10" s="1"/>
  <c r="E13" i="10"/>
  <c r="C13" i="10"/>
  <c r="B13" i="10"/>
  <c r="D12" i="10"/>
  <c r="F12" i="10" s="1"/>
  <c r="E7" i="10"/>
  <c r="C7" i="10"/>
  <c r="B7" i="10"/>
  <c r="D6" i="10"/>
  <c r="F6" i="10" s="1"/>
  <c r="F7" i="10" s="1"/>
  <c r="D29" i="10"/>
  <c r="F29" i="10" s="1"/>
  <c r="M111" i="8"/>
  <c r="I29" i="10"/>
  <c r="N9" i="10" s="1"/>
  <c r="K247" i="3"/>
  <c r="H17" i="6"/>
  <c r="H18" i="6"/>
  <c r="I231" i="4"/>
  <c r="H14" i="6"/>
  <c r="H15" i="6"/>
  <c r="H16" i="6"/>
  <c r="J77" i="6"/>
  <c r="J78" i="6"/>
  <c r="J79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8" i="6"/>
  <c r="K79" i="6"/>
  <c r="M231" i="4"/>
  <c r="C252" i="3"/>
  <c r="M247" i="3"/>
  <c r="M156" i="1"/>
  <c r="K77" i="6"/>
  <c r="Q10" i="5" l="1"/>
  <c r="Q81" i="5"/>
  <c r="Q52" i="5"/>
  <c r="O112" i="20"/>
  <c r="D25" i="6" s="1"/>
  <c r="E25" i="6" s="1"/>
  <c r="G25" i="6" s="1"/>
  <c r="J25" i="6" s="1"/>
  <c r="O169" i="17"/>
  <c r="O170" i="17"/>
  <c r="O171" i="17"/>
  <c r="O172" i="17"/>
  <c r="O43" i="17"/>
  <c r="O173" i="17"/>
  <c r="J231" i="4"/>
  <c r="D19" i="10"/>
  <c r="B31" i="10"/>
  <c r="O168" i="17"/>
  <c r="D25" i="10"/>
  <c r="D31" i="10"/>
  <c r="F17" i="10"/>
  <c r="F19" i="10" s="1"/>
  <c r="P43" i="10"/>
  <c r="P45" i="10"/>
  <c r="P44" i="10"/>
  <c r="O164" i="17"/>
  <c r="O162" i="17"/>
  <c r="O163" i="17"/>
  <c r="O165" i="17"/>
  <c r="O167" i="17"/>
  <c r="O166" i="17"/>
  <c r="O14" i="17"/>
  <c r="O22" i="17"/>
  <c r="O30" i="17"/>
  <c r="O38" i="17"/>
  <c r="O46" i="17"/>
  <c r="O54" i="17"/>
  <c r="O62" i="17"/>
  <c r="O70" i="17"/>
  <c r="O78" i="17"/>
  <c r="O86" i="17"/>
  <c r="O94" i="17"/>
  <c r="O102" i="17"/>
  <c r="O110" i="17"/>
  <c r="O118" i="17"/>
  <c r="O126" i="17"/>
  <c r="O134" i="17"/>
  <c r="O142" i="17"/>
  <c r="O150" i="17"/>
  <c r="O158" i="17"/>
  <c r="O16" i="17"/>
  <c r="O40" i="17"/>
  <c r="O64" i="17"/>
  <c r="O80" i="17"/>
  <c r="O96" i="17"/>
  <c r="O112" i="17"/>
  <c r="O128" i="17"/>
  <c r="O144" i="17"/>
  <c r="O160" i="17"/>
  <c r="O90" i="17"/>
  <c r="O122" i="17"/>
  <c r="O146" i="17"/>
  <c r="O148" i="17"/>
  <c r="O29" i="17"/>
  <c r="O53" i="17"/>
  <c r="O93" i="17"/>
  <c r="O133" i="17"/>
  <c r="O141" i="17"/>
  <c r="O15" i="17"/>
  <c r="O23" i="17"/>
  <c r="O31" i="17"/>
  <c r="O39" i="17"/>
  <c r="O47" i="17"/>
  <c r="O55" i="17"/>
  <c r="O63" i="17"/>
  <c r="O71" i="17"/>
  <c r="O79" i="17"/>
  <c r="O87" i="17"/>
  <c r="O95" i="17"/>
  <c r="O103" i="17"/>
  <c r="O111" i="17"/>
  <c r="O119" i="17"/>
  <c r="O127" i="17"/>
  <c r="O135" i="17"/>
  <c r="O143" i="17"/>
  <c r="O151" i="17"/>
  <c r="O159" i="17"/>
  <c r="O24" i="17"/>
  <c r="O32" i="17"/>
  <c r="O48" i="17"/>
  <c r="O56" i="17"/>
  <c r="O72" i="17"/>
  <c r="O88" i="17"/>
  <c r="O104" i="17"/>
  <c r="O120" i="17"/>
  <c r="O136" i="17"/>
  <c r="O152" i="17"/>
  <c r="O98" i="17"/>
  <c r="O114" i="17"/>
  <c r="O138" i="17"/>
  <c r="O154" i="17"/>
  <c r="O21" i="17"/>
  <c r="O61" i="17"/>
  <c r="O85" i="17"/>
  <c r="O117" i="17"/>
  <c r="O17" i="17"/>
  <c r="O25" i="17"/>
  <c r="O33" i="17"/>
  <c r="O41" i="17"/>
  <c r="O49" i="17"/>
  <c r="O57" i="17"/>
  <c r="O65" i="17"/>
  <c r="O73" i="17"/>
  <c r="O81" i="17"/>
  <c r="O89" i="17"/>
  <c r="O97" i="17"/>
  <c r="O105" i="17"/>
  <c r="O113" i="17"/>
  <c r="O121" i="17"/>
  <c r="O129" i="17"/>
  <c r="O137" i="17"/>
  <c r="O145" i="17"/>
  <c r="O153" i="17"/>
  <c r="O161" i="17"/>
  <c r="O18" i="17"/>
  <c r="O26" i="17"/>
  <c r="O34" i="17"/>
  <c r="O42" i="17"/>
  <c r="O50" i="17"/>
  <c r="O58" i="17"/>
  <c r="O66" i="17"/>
  <c r="O74" i="17"/>
  <c r="O82" i="17"/>
  <c r="O106" i="17"/>
  <c r="O130" i="17"/>
  <c r="O13" i="17"/>
  <c r="O45" i="17"/>
  <c r="O77" i="17"/>
  <c r="O109" i="17"/>
  <c r="O157" i="17"/>
  <c r="O11" i="17"/>
  <c r="O19" i="17"/>
  <c r="O27" i="17"/>
  <c r="O35" i="17"/>
  <c r="O51" i="17"/>
  <c r="O59" i="17"/>
  <c r="O67" i="17"/>
  <c r="O75" i="17"/>
  <c r="O83" i="17"/>
  <c r="O91" i="17"/>
  <c r="O99" i="17"/>
  <c r="O107" i="17"/>
  <c r="O115" i="17"/>
  <c r="O123" i="17"/>
  <c r="O131" i="17"/>
  <c r="O139" i="17"/>
  <c r="O147" i="17"/>
  <c r="O155" i="17"/>
  <c r="O12" i="17"/>
  <c r="O20" i="17"/>
  <c r="O28" i="17"/>
  <c r="O36" i="17"/>
  <c r="O44" i="17"/>
  <c r="O52" i="17"/>
  <c r="O60" i="17"/>
  <c r="O68" i="17"/>
  <c r="O76" i="17"/>
  <c r="O84" i="17"/>
  <c r="O92" i="17"/>
  <c r="O100" i="17"/>
  <c r="O108" i="17"/>
  <c r="O116" i="17"/>
  <c r="O124" i="17"/>
  <c r="O132" i="17"/>
  <c r="O140" i="17"/>
  <c r="O156" i="17"/>
  <c r="O37" i="17"/>
  <c r="O69" i="17"/>
  <c r="O101" i="17"/>
  <c r="O125" i="17"/>
  <c r="O149" i="17"/>
  <c r="O83" i="15"/>
  <c r="O87" i="15"/>
  <c r="O84" i="15"/>
  <c r="O85" i="15"/>
  <c r="O86" i="15"/>
  <c r="D13" i="10"/>
  <c r="D7" i="10"/>
  <c r="O93" i="16"/>
  <c r="O94" i="16"/>
  <c r="O89" i="16"/>
  <c r="O96" i="16"/>
  <c r="O98" i="16"/>
  <c r="O92" i="16"/>
  <c r="O100" i="16"/>
  <c r="O95" i="16"/>
  <c r="O90" i="16"/>
  <c r="O99" i="16"/>
  <c r="O97" i="16"/>
  <c r="O91" i="16"/>
  <c r="O44" i="16"/>
  <c r="O45" i="16"/>
  <c r="O17" i="13"/>
  <c r="O25" i="13"/>
  <c r="O33" i="13"/>
  <c r="O41" i="13"/>
  <c r="O49" i="13"/>
  <c r="O57" i="13"/>
  <c r="O65" i="13"/>
  <c r="O68" i="13"/>
  <c r="O53" i="13"/>
  <c r="O18" i="13"/>
  <c r="O26" i="13"/>
  <c r="O34" i="13"/>
  <c r="O42" i="13"/>
  <c r="O50" i="13"/>
  <c r="O58" i="13"/>
  <c r="O66" i="13"/>
  <c r="O52" i="13"/>
  <c r="O45" i="13"/>
  <c r="O19" i="13"/>
  <c r="O27" i="13"/>
  <c r="O35" i="13"/>
  <c r="O43" i="13"/>
  <c r="O51" i="13"/>
  <c r="O59" i="13"/>
  <c r="O67" i="13"/>
  <c r="O44" i="13"/>
  <c r="O37" i="13"/>
  <c r="O69" i="13"/>
  <c r="O12" i="13"/>
  <c r="O20" i="13"/>
  <c r="O28" i="13"/>
  <c r="O36" i="13"/>
  <c r="O60" i="13"/>
  <c r="O38" i="13"/>
  <c r="O54" i="13"/>
  <c r="O13" i="13"/>
  <c r="O21" i="13"/>
  <c r="O29" i="13"/>
  <c r="O61" i="13"/>
  <c r="O62" i="13"/>
  <c r="O14" i="13"/>
  <c r="O22" i="13"/>
  <c r="O30" i="13"/>
  <c r="O46" i="13"/>
  <c r="O70" i="13"/>
  <c r="O15" i="13"/>
  <c r="O23" i="13"/>
  <c r="O31" i="13"/>
  <c r="O39" i="13"/>
  <c r="O47" i="13"/>
  <c r="O55" i="13"/>
  <c r="O63" i="13"/>
  <c r="O71" i="13"/>
  <c r="O16" i="13"/>
  <c r="O24" i="13"/>
  <c r="O32" i="13"/>
  <c r="O40" i="13"/>
  <c r="O48" i="13"/>
  <c r="O56" i="13"/>
  <c r="O64" i="13"/>
  <c r="O104" i="9"/>
  <c r="O105" i="9"/>
  <c r="O14" i="15"/>
  <c r="O28" i="15"/>
  <c r="O40" i="15"/>
  <c r="O53" i="15"/>
  <c r="O67" i="15"/>
  <c r="O80" i="15"/>
  <c r="O93" i="15"/>
  <c r="O108" i="15"/>
  <c r="O120" i="15"/>
  <c r="O131" i="15"/>
  <c r="O143" i="15"/>
  <c r="O155" i="15"/>
  <c r="O144" i="15"/>
  <c r="O43" i="15"/>
  <c r="O71" i="15"/>
  <c r="O126" i="15"/>
  <c r="O160" i="15"/>
  <c r="O60" i="15"/>
  <c r="O101" i="15"/>
  <c r="O161" i="15"/>
  <c r="O103" i="15"/>
  <c r="O129" i="15"/>
  <c r="O142" i="15"/>
  <c r="O15" i="15"/>
  <c r="O30" i="15"/>
  <c r="O41" i="15"/>
  <c r="O55" i="15"/>
  <c r="O68" i="15"/>
  <c r="O81" i="15"/>
  <c r="O95" i="15"/>
  <c r="O109" i="15"/>
  <c r="O121" i="15"/>
  <c r="O133" i="15"/>
  <c r="O157" i="15"/>
  <c r="O137" i="15"/>
  <c r="O45" i="15"/>
  <c r="O115" i="15"/>
  <c r="O62" i="15"/>
  <c r="O139" i="15"/>
  <c r="O153" i="15"/>
  <c r="O16" i="15"/>
  <c r="O31" i="15"/>
  <c r="O42" i="15"/>
  <c r="O57" i="15"/>
  <c r="O70" i="15"/>
  <c r="O96" i="15"/>
  <c r="O111" i="15"/>
  <c r="O124" i="15"/>
  <c r="O134" i="15"/>
  <c r="O146" i="15"/>
  <c r="O158" i="15"/>
  <c r="O17" i="15"/>
  <c r="O59" i="15"/>
  <c r="O114" i="15"/>
  <c r="O147" i="15"/>
  <c r="O35" i="15"/>
  <c r="O89" i="15"/>
  <c r="O148" i="15"/>
  <c r="O75" i="15"/>
  <c r="O149" i="15"/>
  <c r="O119" i="15"/>
  <c r="O34" i="15"/>
  <c r="O99" i="15"/>
  <c r="O73" i="15"/>
  <c r="O138" i="15"/>
  <c r="O90" i="15"/>
  <c r="O140" i="15"/>
  <c r="O18" i="15"/>
  <c r="O127" i="15"/>
  <c r="O117" i="15"/>
  <c r="O162" i="15"/>
  <c r="O106" i="15"/>
  <c r="O22" i="15"/>
  <c r="O37" i="15"/>
  <c r="O48" i="15"/>
  <c r="O128" i="15"/>
  <c r="O151" i="15"/>
  <c r="O24" i="15"/>
  <c r="O38" i="15"/>
  <c r="O50" i="15"/>
  <c r="O64" i="15"/>
  <c r="O76" i="15"/>
  <c r="O91" i="15"/>
  <c r="O104" i="15"/>
  <c r="O118" i="15"/>
  <c r="O26" i="15"/>
  <c r="O39" i="15"/>
  <c r="O52" i="15"/>
  <c r="O66" i="15"/>
  <c r="O78" i="15"/>
  <c r="O92" i="15"/>
  <c r="O130" i="15"/>
  <c r="O112" i="15"/>
  <c r="O141" i="15"/>
  <c r="O136" i="15"/>
  <c r="O47" i="15"/>
  <c r="O102" i="15"/>
  <c r="O94" i="15"/>
  <c r="O44" i="15"/>
  <c r="O125" i="15"/>
  <c r="O33" i="15"/>
  <c r="O116" i="15"/>
  <c r="O88" i="15"/>
  <c r="O25" i="15"/>
  <c r="O97" i="15"/>
  <c r="O154" i="15"/>
  <c r="O132" i="15"/>
  <c r="O63" i="15"/>
  <c r="O105" i="15"/>
  <c r="O98" i="15"/>
  <c r="O159" i="15"/>
  <c r="O122" i="15"/>
  <c r="O113" i="15"/>
  <c r="O29" i="15"/>
  <c r="O12" i="15"/>
  <c r="O19" i="15"/>
  <c r="O56" i="15"/>
  <c r="O65" i="15"/>
  <c r="O145" i="15"/>
  <c r="O69" i="15"/>
  <c r="O23" i="15"/>
  <c r="O107" i="15"/>
  <c r="O13" i="15"/>
  <c r="O54" i="15"/>
  <c r="O61" i="15"/>
  <c r="O79" i="15"/>
  <c r="O36" i="15"/>
  <c r="O123" i="15"/>
  <c r="O20" i="15"/>
  <c r="O51" i="15"/>
  <c r="O77" i="15"/>
  <c r="O74" i="15"/>
  <c r="O46" i="15"/>
  <c r="O110" i="15"/>
  <c r="O135" i="15"/>
  <c r="O152" i="15"/>
  <c r="O32" i="15"/>
  <c r="O72" i="15"/>
  <c r="O100" i="15"/>
  <c r="O82" i="15"/>
  <c r="O49" i="15"/>
  <c r="O21" i="15"/>
  <c r="O150" i="15"/>
  <c r="O156" i="15"/>
  <c r="O58" i="15"/>
  <c r="O27" i="15"/>
  <c r="O10" i="17"/>
  <c r="O21" i="18"/>
  <c r="O27" i="18"/>
  <c r="O89" i="18"/>
  <c r="O26" i="18"/>
  <c r="O115" i="18"/>
  <c r="O16" i="18"/>
  <c r="O75" i="18"/>
  <c r="O13" i="18"/>
  <c r="O17" i="18"/>
  <c r="O93" i="18"/>
  <c r="O35" i="18"/>
  <c r="O84" i="18"/>
  <c r="O49" i="18"/>
  <c r="O117" i="18"/>
  <c r="O28" i="18"/>
  <c r="O79" i="18"/>
  <c r="O80" i="18"/>
  <c r="O18" i="18"/>
  <c r="O36" i="18"/>
  <c r="O72" i="18"/>
  <c r="O29" i="18"/>
  <c r="O109" i="18"/>
  <c r="O23" i="18"/>
  <c r="O39" i="18"/>
  <c r="O97" i="18"/>
  <c r="O74" i="18"/>
  <c r="O44" i="18"/>
  <c r="O91" i="18"/>
  <c r="O98" i="18"/>
  <c r="O85" i="18"/>
  <c r="O108" i="18"/>
  <c r="O50" i="18"/>
  <c r="O51" i="18"/>
  <c r="O22" i="18"/>
  <c r="O111" i="18"/>
  <c r="O116" i="18"/>
  <c r="O42" i="18"/>
  <c r="O68" i="18"/>
  <c r="O114" i="18"/>
  <c r="O112" i="18"/>
  <c r="O120" i="18"/>
  <c r="O46" i="18"/>
  <c r="O73" i="18"/>
  <c r="O59" i="18"/>
  <c r="O56" i="18"/>
  <c r="O45" i="18"/>
  <c r="O102" i="18"/>
  <c r="O100" i="18"/>
  <c r="O60" i="18"/>
  <c r="O40" i="18"/>
  <c r="O105" i="18"/>
  <c r="O52" i="18"/>
  <c r="O90" i="18"/>
  <c r="O81" i="18"/>
  <c r="O19" i="18"/>
  <c r="O86" i="18"/>
  <c r="O33" i="18"/>
  <c r="O34" i="18"/>
  <c r="O30" i="18"/>
  <c r="O43" i="18"/>
  <c r="O101" i="18"/>
  <c r="O78" i="18"/>
  <c r="O121" i="18"/>
  <c r="O106" i="18"/>
  <c r="O38" i="18"/>
  <c r="O47" i="18"/>
  <c r="O54" i="18"/>
  <c r="O88" i="18"/>
  <c r="O94" i="18"/>
  <c r="O53" i="18"/>
  <c r="O37" i="18"/>
  <c r="O92" i="18"/>
  <c r="O113" i="18"/>
  <c r="O14" i="18"/>
  <c r="O41" i="18"/>
  <c r="O82" i="18"/>
  <c r="O58" i="18"/>
  <c r="O12" i="18"/>
  <c r="O76" i="18"/>
  <c r="O24" i="18"/>
  <c r="O10" i="18"/>
  <c r="O57" i="18"/>
  <c r="O107" i="18"/>
  <c r="O62" i="18"/>
  <c r="O11" i="18"/>
  <c r="O87" i="18"/>
  <c r="O104" i="18"/>
  <c r="O20" i="18"/>
  <c r="O69" i="18"/>
  <c r="O64" i="18"/>
  <c r="O110" i="18"/>
  <c r="O61" i="18"/>
  <c r="O15" i="18"/>
  <c r="O71" i="18"/>
  <c r="O66" i="18"/>
  <c r="O25" i="18"/>
  <c r="O95" i="18"/>
  <c r="O118" i="18"/>
  <c r="O31" i="18"/>
  <c r="O83" i="18"/>
  <c r="O70" i="18"/>
  <c r="O67" i="18"/>
  <c r="O55" i="18"/>
  <c r="O32" i="18"/>
  <c r="O119" i="18"/>
  <c r="O99" i="18"/>
  <c r="O96" i="18"/>
  <c r="O48" i="18"/>
  <c r="O65" i="18"/>
  <c r="O103" i="18"/>
  <c r="O77" i="18"/>
  <c r="O63" i="18"/>
  <c r="O32" i="16"/>
  <c r="O48" i="16"/>
  <c r="O56" i="16"/>
  <c r="O25" i="16"/>
  <c r="O41" i="16"/>
  <c r="O57" i="16"/>
  <c r="O65" i="16"/>
  <c r="O73" i="16"/>
  <c r="O81" i="16"/>
  <c r="O14" i="16"/>
  <c r="O62" i="16"/>
  <c r="O78" i="16"/>
  <c r="O15" i="16"/>
  <c r="O31" i="16"/>
  <c r="O47" i="16"/>
  <c r="O63" i="16"/>
  <c r="O18" i="16"/>
  <c r="O50" i="16"/>
  <c r="O58" i="16"/>
  <c r="O74" i="16"/>
  <c r="O82" i="16"/>
  <c r="O27" i="16"/>
  <c r="O35" i="16"/>
  <c r="O59" i="16"/>
  <c r="O67" i="16"/>
  <c r="O75" i="16"/>
  <c r="O83" i="16"/>
  <c r="O20" i="16"/>
  <c r="O28" i="16"/>
  <c r="O36" i="16"/>
  <c r="O52" i="16"/>
  <c r="O60" i="16"/>
  <c r="O13" i="16"/>
  <c r="O29" i="16"/>
  <c r="O37" i="16"/>
  <c r="O69" i="16"/>
  <c r="O77" i="16"/>
  <c r="O85" i="16"/>
  <c r="O54" i="16"/>
  <c r="O70" i="16"/>
  <c r="O71" i="16"/>
  <c r="O87" i="16"/>
  <c r="O61" i="16"/>
  <c r="O34" i="16"/>
  <c r="O64" i="16"/>
  <c r="O46" i="16"/>
  <c r="O30" i="16"/>
  <c r="O53" i="16"/>
  <c r="O42" i="16"/>
  <c r="O72" i="16"/>
  <c r="O26" i="16"/>
  <c r="O19" i="16"/>
  <c r="O21" i="16"/>
  <c r="O66" i="16"/>
  <c r="O49" i="16"/>
  <c r="O38" i="16"/>
  <c r="O43" i="16"/>
  <c r="O51" i="16"/>
  <c r="O68" i="16"/>
  <c r="O16" i="16"/>
  <c r="O55" i="16"/>
  <c r="O76" i="16"/>
  <c r="O80" i="16"/>
  <c r="O88" i="16"/>
  <c r="O84" i="16"/>
  <c r="O17" i="16"/>
  <c r="O86" i="16"/>
  <c r="O33" i="16"/>
  <c r="O79" i="16"/>
  <c r="O23" i="16"/>
  <c r="O40" i="16"/>
  <c r="O24" i="16"/>
  <c r="O22" i="16"/>
  <c r="O39" i="16"/>
  <c r="O6" i="10"/>
  <c r="F13" i="10"/>
  <c r="L132" i="5"/>
  <c r="O27" i="10"/>
  <c r="Q27" i="10" s="1"/>
  <c r="O9" i="10"/>
  <c r="P9" i="10" s="1"/>
  <c r="F31" i="10"/>
  <c r="O28" i="10"/>
  <c r="Q28" i="10" s="1"/>
  <c r="O10" i="10"/>
  <c r="F38" i="10"/>
  <c r="L247" i="3"/>
  <c r="J247" i="3"/>
  <c r="B43" i="10"/>
  <c r="B45" i="10" s="1"/>
  <c r="L11" i="4"/>
  <c r="L231" i="4" s="1"/>
  <c r="D38" i="10"/>
  <c r="J107" i="2"/>
  <c r="O16" i="1"/>
  <c r="J132" i="5"/>
  <c r="O11" i="13"/>
  <c r="O72" i="13"/>
  <c r="O17" i="11"/>
  <c r="O41" i="11"/>
  <c r="O49" i="11"/>
  <c r="O73" i="11"/>
  <c r="O81" i="11"/>
  <c r="O89" i="11"/>
  <c r="O40" i="11"/>
  <c r="O80" i="11"/>
  <c r="O26" i="11"/>
  <c r="O34" i="11"/>
  <c r="O42" i="11"/>
  <c r="O58" i="11"/>
  <c r="O66" i="11"/>
  <c r="O74" i="11"/>
  <c r="O82" i="11"/>
  <c r="O90" i="11"/>
  <c r="O19" i="11"/>
  <c r="O27" i="11"/>
  <c r="O35" i="11"/>
  <c r="O51" i="11"/>
  <c r="O59" i="11"/>
  <c r="O75" i="11"/>
  <c r="O56" i="11"/>
  <c r="O44" i="11"/>
  <c r="O60" i="11"/>
  <c r="O68" i="11"/>
  <c r="O76" i="11"/>
  <c r="O84" i="11"/>
  <c r="O92" i="11"/>
  <c r="O48" i="11"/>
  <c r="O13" i="11"/>
  <c r="O21" i="11"/>
  <c r="O29" i="11"/>
  <c r="O37" i="11"/>
  <c r="O45" i="11"/>
  <c r="O61" i="11"/>
  <c r="O24" i="11"/>
  <c r="O14" i="11"/>
  <c r="O38" i="11"/>
  <c r="O46" i="11"/>
  <c r="O70" i="11"/>
  <c r="O86" i="11"/>
  <c r="O94" i="11"/>
  <c r="O16" i="11"/>
  <c r="O64" i="11"/>
  <c r="O23" i="11"/>
  <c r="O31" i="11"/>
  <c r="O55" i="11"/>
  <c r="O63" i="11"/>
  <c r="O71" i="11"/>
  <c r="O87" i="11"/>
  <c r="O88" i="11"/>
  <c r="O69" i="11"/>
  <c r="O20" i="11"/>
  <c r="O12" i="11"/>
  <c r="O36" i="11"/>
  <c r="O22" i="11"/>
  <c r="O47" i="11"/>
  <c r="O25" i="11"/>
  <c r="O15" i="11"/>
  <c r="O18" i="11"/>
  <c r="O67" i="11"/>
  <c r="O93" i="11"/>
  <c r="O32" i="11"/>
  <c r="O33" i="11"/>
  <c r="O57" i="11"/>
  <c r="O43" i="11"/>
  <c r="O62" i="11"/>
  <c r="O91" i="11"/>
  <c r="O54" i="11"/>
  <c r="O79" i="11"/>
  <c r="O65" i="11"/>
  <c r="O53" i="11"/>
  <c r="O78" i="11"/>
  <c r="O30" i="11"/>
  <c r="O77" i="11"/>
  <c r="O39" i="11"/>
  <c r="O85" i="11"/>
  <c r="O72" i="11"/>
  <c r="O28" i="11"/>
  <c r="O52" i="11"/>
  <c r="O83" i="11"/>
  <c r="O50" i="11"/>
  <c r="O20" i="3"/>
  <c r="C45" i="10"/>
  <c r="O11" i="4"/>
  <c r="O10" i="15"/>
  <c r="O163" i="15"/>
  <c r="O11" i="15"/>
  <c r="O12" i="16"/>
  <c r="O11" i="16"/>
  <c r="O10" i="16"/>
  <c r="O11" i="11"/>
  <c r="O10" i="13"/>
  <c r="L107" i="2"/>
  <c r="O153" i="9"/>
  <c r="O12" i="9"/>
  <c r="O23" i="9"/>
  <c r="O18" i="9"/>
  <c r="O11" i="12"/>
  <c r="O19" i="12"/>
  <c r="O27" i="12"/>
  <c r="O35" i="12"/>
  <c r="O43" i="12"/>
  <c r="O51" i="12"/>
  <c r="O59" i="12"/>
  <c r="O67" i="12"/>
  <c r="O75" i="12"/>
  <c r="O83" i="12"/>
  <c r="O91" i="12"/>
  <c r="O99" i="12"/>
  <c r="O107" i="12"/>
  <c r="O115" i="12"/>
  <c r="O123" i="12"/>
  <c r="O131" i="12"/>
  <c r="O139" i="12"/>
  <c r="O147" i="12"/>
  <c r="O155" i="12"/>
  <c r="O163" i="12"/>
  <c r="O12" i="12"/>
  <c r="O20" i="12"/>
  <c r="O28" i="12"/>
  <c r="O36" i="12"/>
  <c r="O44" i="12"/>
  <c r="O52" i="12"/>
  <c r="O60" i="12"/>
  <c r="O68" i="12"/>
  <c r="O76" i="12"/>
  <c r="O84" i="12"/>
  <c r="O92" i="12"/>
  <c r="O100" i="12"/>
  <c r="O108" i="12"/>
  <c r="O116" i="12"/>
  <c r="O124" i="12"/>
  <c r="O132" i="12"/>
  <c r="O140" i="12"/>
  <c r="O148" i="12"/>
  <c r="O156" i="12"/>
  <c r="O164" i="12"/>
  <c r="O13" i="12"/>
  <c r="O21" i="12"/>
  <c r="O29" i="12"/>
  <c r="O37" i="12"/>
  <c r="O45" i="12"/>
  <c r="O53" i="12"/>
  <c r="O61" i="12"/>
  <c r="O69" i="12"/>
  <c r="O77" i="12"/>
  <c r="O85" i="12"/>
  <c r="O93" i="12"/>
  <c r="O101" i="12"/>
  <c r="O109" i="12"/>
  <c r="O117" i="12"/>
  <c r="O125" i="12"/>
  <c r="O133" i="12"/>
  <c r="O141" i="12"/>
  <c r="O149" i="12"/>
  <c r="O157" i="12"/>
  <c r="O14" i="12"/>
  <c r="O22" i="12"/>
  <c r="O30" i="12"/>
  <c r="O38" i="12"/>
  <c r="O46" i="12"/>
  <c r="O54" i="12"/>
  <c r="O62" i="12"/>
  <c r="O70" i="12"/>
  <c r="O78" i="12"/>
  <c r="O86" i="12"/>
  <c r="O94" i="12"/>
  <c r="O102" i="12"/>
  <c r="O110" i="12"/>
  <c r="O118" i="12"/>
  <c r="O126" i="12"/>
  <c r="O134" i="12"/>
  <c r="O142" i="12"/>
  <c r="O150" i="12"/>
  <c r="O158" i="12"/>
  <c r="O95" i="12"/>
  <c r="O127" i="12"/>
  <c r="O143" i="12"/>
  <c r="O159" i="12"/>
  <c r="O16" i="12"/>
  <c r="O24" i="12"/>
  <c r="O32" i="12"/>
  <c r="O40" i="12"/>
  <c r="O56" i="12"/>
  <c r="O72" i="12"/>
  <c r="O88" i="12"/>
  <c r="O104" i="12"/>
  <c r="O120" i="12"/>
  <c r="O136" i="12"/>
  <c r="O160" i="12"/>
  <c r="O17" i="12"/>
  <c r="O33" i="12"/>
  <c r="O49" i="12"/>
  <c r="O57" i="12"/>
  <c r="O73" i="12"/>
  <c r="O81" i="12"/>
  <c r="O105" i="12"/>
  <c r="O121" i="12"/>
  <c r="O137" i="12"/>
  <c r="O153" i="12"/>
  <c r="O18" i="12"/>
  <c r="O26" i="12"/>
  <c r="O34" i="12"/>
  <c r="O42" i="12"/>
  <c r="O58" i="12"/>
  <c r="O74" i="12"/>
  <c r="O90" i="12"/>
  <c r="O106" i="12"/>
  <c r="O114" i="12"/>
  <c r="O130" i="12"/>
  <c r="O146" i="12"/>
  <c r="O162" i="12"/>
  <c r="O15" i="12"/>
  <c r="O23" i="12"/>
  <c r="O31" i="12"/>
  <c r="O39" i="12"/>
  <c r="O47" i="12"/>
  <c r="O55" i="12"/>
  <c r="O63" i="12"/>
  <c r="O71" i="12"/>
  <c r="O79" i="12"/>
  <c r="O87" i="12"/>
  <c r="O103" i="12"/>
  <c r="O111" i="12"/>
  <c r="O119" i="12"/>
  <c r="O135" i="12"/>
  <c r="O151" i="12"/>
  <c r="O48" i="12"/>
  <c r="O64" i="12"/>
  <c r="O80" i="12"/>
  <c r="O96" i="12"/>
  <c r="O112" i="12"/>
  <c r="O128" i="12"/>
  <c r="O144" i="12"/>
  <c r="O152" i="12"/>
  <c r="O25" i="12"/>
  <c r="O41" i="12"/>
  <c r="O65" i="12"/>
  <c r="O89" i="12"/>
  <c r="O97" i="12"/>
  <c r="O113" i="12"/>
  <c r="O129" i="12"/>
  <c r="O145" i="12"/>
  <c r="O161" i="12"/>
  <c r="O50" i="12"/>
  <c r="O66" i="12"/>
  <c r="O82" i="12"/>
  <c r="O98" i="12"/>
  <c r="O122" i="12"/>
  <c r="O138" i="12"/>
  <c r="O154" i="12"/>
  <c r="O18" i="2"/>
  <c r="O15" i="2"/>
  <c r="E25" i="10"/>
  <c r="F23" i="10"/>
  <c r="J156" i="9"/>
  <c r="O10" i="12"/>
  <c r="I23" i="10"/>
  <c r="I31" i="10"/>
  <c r="Q82" i="5"/>
  <c r="Q128" i="5"/>
  <c r="Q115" i="5"/>
  <c r="Q103" i="5"/>
  <c r="Q111" i="5"/>
  <c r="Q69" i="5"/>
  <c r="O231" i="3"/>
  <c r="Q130" i="5"/>
  <c r="Q104" i="5"/>
  <c r="Q31" i="5"/>
  <c r="O199" i="3"/>
  <c r="Q124" i="5"/>
  <c r="Q101" i="5"/>
  <c r="Q120" i="5"/>
  <c r="Q97" i="5"/>
  <c r="Q119" i="5"/>
  <c r="Q88" i="5"/>
  <c r="Q112" i="5"/>
  <c r="Q75" i="5"/>
  <c r="Q93" i="5"/>
  <c r="Q129" i="5"/>
  <c r="Q113" i="5"/>
  <c r="Q100" i="5"/>
  <c r="Q73" i="5"/>
  <c r="O242" i="3"/>
  <c r="Q122" i="5"/>
  <c r="Q109" i="5"/>
  <c r="Q92" i="5"/>
  <c r="Q58" i="5"/>
  <c r="Q65" i="5"/>
  <c r="Q121" i="5"/>
  <c r="Q106" i="5"/>
  <c r="Q91" i="5"/>
  <c r="Q41" i="5"/>
  <c r="O220" i="3"/>
  <c r="O178" i="3"/>
  <c r="Q127" i="5"/>
  <c r="Q117" i="5"/>
  <c r="Q108" i="5"/>
  <c r="Q99" i="5"/>
  <c r="Q87" i="5"/>
  <c r="Q62" i="5"/>
  <c r="Q125" i="5"/>
  <c r="Q116" i="5"/>
  <c r="Q107" i="5"/>
  <c r="Q98" i="5"/>
  <c r="Q84" i="5"/>
  <c r="Q60" i="5"/>
  <c r="Q123" i="5"/>
  <c r="Q114" i="5"/>
  <c r="Q105" i="5"/>
  <c r="Q96" i="5"/>
  <c r="Q77" i="5"/>
  <c r="Q47" i="5"/>
  <c r="O190" i="4"/>
  <c r="O74" i="2"/>
  <c r="Q83" i="5"/>
  <c r="Q70" i="5"/>
  <c r="Q59" i="5"/>
  <c r="Q22" i="5"/>
  <c r="O164" i="4"/>
  <c r="O155" i="3"/>
  <c r="O141" i="3"/>
  <c r="Q90" i="5"/>
  <c r="Q68" i="5"/>
  <c r="Q57" i="5"/>
  <c r="Q89" i="5"/>
  <c r="Q78" i="5"/>
  <c r="Q67" i="5"/>
  <c r="Q48" i="5"/>
  <c r="O221" i="3"/>
  <c r="O166" i="3"/>
  <c r="O101" i="3"/>
  <c r="O83" i="3"/>
  <c r="O10" i="2"/>
  <c r="Q95" i="5"/>
  <c r="Q85" i="5"/>
  <c r="Q74" i="5"/>
  <c r="Q61" i="5"/>
  <c r="Q39" i="5"/>
  <c r="O210" i="4"/>
  <c r="O243" i="3"/>
  <c r="O188" i="3"/>
  <c r="O50" i="2"/>
  <c r="O143" i="9"/>
  <c r="O65" i="9"/>
  <c r="Q126" i="5"/>
  <c r="Q118" i="5"/>
  <c r="Q110" i="5"/>
  <c r="Q102" i="5"/>
  <c r="Q94" i="5"/>
  <c r="Q86" i="5"/>
  <c r="Q76" i="5"/>
  <c r="Q66" i="5"/>
  <c r="Q49" i="5"/>
  <c r="O154" i="3"/>
  <c r="O41" i="3"/>
  <c r="O210" i="3"/>
  <c r="O111" i="3"/>
  <c r="O40" i="3"/>
  <c r="O226" i="3"/>
  <c r="O132" i="1"/>
  <c r="O237" i="3"/>
  <c r="O225" i="3"/>
  <c r="O194" i="3"/>
  <c r="O171" i="3"/>
  <c r="O161" i="3"/>
  <c r="O148" i="3"/>
  <c r="O133" i="3"/>
  <c r="O62" i="3"/>
  <c r="O216" i="3"/>
  <c r="O204" i="3"/>
  <c r="O193" i="3"/>
  <c r="O183" i="3"/>
  <c r="O147" i="3"/>
  <c r="O215" i="3"/>
  <c r="O118" i="3"/>
  <c r="O92" i="3"/>
  <c r="O73" i="3"/>
  <c r="O125" i="3"/>
  <c r="O124" i="4"/>
  <c r="O116" i="4"/>
  <c r="O56" i="9"/>
  <c r="O125" i="9"/>
  <c r="O226" i="4"/>
  <c r="O206" i="4"/>
  <c r="O184" i="4"/>
  <c r="O157" i="4"/>
  <c r="O114" i="4"/>
  <c r="O236" i="3"/>
  <c r="O230" i="3"/>
  <c r="O209" i="3"/>
  <c r="O203" i="3"/>
  <c r="O198" i="3"/>
  <c r="O187" i="3"/>
  <c r="O177" i="3"/>
  <c r="O165" i="3"/>
  <c r="O160" i="3"/>
  <c r="O140" i="3"/>
  <c r="O117" i="3"/>
  <c r="O90" i="3"/>
  <c r="O80" i="3"/>
  <c r="O72" i="3"/>
  <c r="O117" i="9"/>
  <c r="O39" i="9"/>
  <c r="O225" i="4"/>
  <c r="O202" i="4"/>
  <c r="O182" i="4"/>
  <c r="O148" i="4"/>
  <c r="O106" i="4"/>
  <c r="O246" i="3"/>
  <c r="O241" i="3"/>
  <c r="O235" i="3"/>
  <c r="O229" i="3"/>
  <c r="O224" i="3"/>
  <c r="O219" i="3"/>
  <c r="O214" i="3"/>
  <c r="O208" i="3"/>
  <c r="O197" i="3"/>
  <c r="O192" i="3"/>
  <c r="O182" i="3"/>
  <c r="O176" i="3"/>
  <c r="O170" i="3"/>
  <c r="O159" i="3"/>
  <c r="O153" i="3"/>
  <c r="O146" i="3"/>
  <c r="O139" i="3"/>
  <c r="O130" i="3"/>
  <c r="O124" i="3"/>
  <c r="O116" i="3"/>
  <c r="O107" i="3"/>
  <c r="O71" i="3"/>
  <c r="O109" i="9"/>
  <c r="O30" i="9"/>
  <c r="O230" i="4"/>
  <c r="O134" i="9"/>
  <c r="O222" i="4"/>
  <c r="O200" i="4"/>
  <c r="O178" i="4"/>
  <c r="O147" i="4"/>
  <c r="O82" i="4"/>
  <c r="O240" i="3"/>
  <c r="O234" i="3"/>
  <c r="O218" i="3"/>
  <c r="O213" i="3"/>
  <c r="O207" i="3"/>
  <c r="O202" i="3"/>
  <c r="O191" i="3"/>
  <c r="O186" i="3"/>
  <c r="O181" i="3"/>
  <c r="O175" i="3"/>
  <c r="O169" i="3"/>
  <c r="O164" i="3"/>
  <c r="O145" i="3"/>
  <c r="O137" i="3"/>
  <c r="O123" i="3"/>
  <c r="O98" i="3"/>
  <c r="O86" i="3"/>
  <c r="O79" i="3"/>
  <c r="O18" i="3"/>
  <c r="O99" i="9"/>
  <c r="O22" i="9"/>
  <c r="O186" i="4"/>
  <c r="O218" i="4"/>
  <c r="O198" i="4"/>
  <c r="O177" i="4"/>
  <c r="O135" i="4"/>
  <c r="O74" i="4"/>
  <c r="O245" i="3"/>
  <c r="O239" i="3"/>
  <c r="O228" i="3"/>
  <c r="O223" i="3"/>
  <c r="O201" i="3"/>
  <c r="O196" i="3"/>
  <c r="O180" i="3"/>
  <c r="O163" i="3"/>
  <c r="O157" i="3"/>
  <c r="O151" i="3"/>
  <c r="O143" i="3"/>
  <c r="O129" i="3"/>
  <c r="O114" i="3"/>
  <c r="O105" i="3"/>
  <c r="O85" i="3"/>
  <c r="O78" i="3"/>
  <c r="O67" i="3"/>
  <c r="O57" i="3"/>
  <c r="O90" i="9"/>
  <c r="O13" i="9"/>
  <c r="O209" i="4"/>
  <c r="O216" i="4"/>
  <c r="O194" i="4"/>
  <c r="O170" i="4"/>
  <c r="O134" i="4"/>
  <c r="O71" i="4"/>
  <c r="O244" i="3"/>
  <c r="O233" i="3"/>
  <c r="O222" i="3"/>
  <c r="O217" i="3"/>
  <c r="O212" i="3"/>
  <c r="O206" i="3"/>
  <c r="O195" i="3"/>
  <c r="O190" i="3"/>
  <c r="O185" i="3"/>
  <c r="O174" i="3"/>
  <c r="O168" i="3"/>
  <c r="O156" i="3"/>
  <c r="O149" i="3"/>
  <c r="O122" i="3"/>
  <c r="O95" i="3"/>
  <c r="O81" i="9"/>
  <c r="O158" i="4"/>
  <c r="O214" i="4"/>
  <c r="O193" i="4"/>
  <c r="O166" i="4"/>
  <c r="O126" i="4"/>
  <c r="O34" i="4"/>
  <c r="O238" i="3"/>
  <c r="O232" i="3"/>
  <c r="O227" i="3"/>
  <c r="O211" i="3"/>
  <c r="O205" i="3"/>
  <c r="O200" i="3"/>
  <c r="O189" i="3"/>
  <c r="O184" i="3"/>
  <c r="O179" i="3"/>
  <c r="O173" i="3"/>
  <c r="O167" i="3"/>
  <c r="O162" i="3"/>
  <c r="O142" i="3"/>
  <c r="O135" i="3"/>
  <c r="O127" i="3"/>
  <c r="O112" i="3"/>
  <c r="O103" i="3"/>
  <c r="O84" i="3"/>
  <c r="O55" i="3"/>
  <c r="O73" i="9"/>
  <c r="L11" i="1"/>
  <c r="O11" i="1"/>
  <c r="O109" i="1"/>
  <c r="L132" i="1"/>
  <c r="O117" i="1"/>
  <c r="J156" i="1"/>
  <c r="O48" i="9"/>
  <c r="Q24" i="5"/>
  <c r="O48" i="3"/>
  <c r="Q23" i="5"/>
  <c r="O72" i="8"/>
  <c r="Q40" i="5"/>
  <c r="Q12" i="5"/>
  <c r="O28" i="4"/>
  <c r="O42" i="2"/>
  <c r="Q80" i="5"/>
  <c r="Q72" i="5"/>
  <c r="Q64" i="5"/>
  <c r="Q56" i="5"/>
  <c r="Q33" i="5"/>
  <c r="O45" i="1"/>
  <c r="Q79" i="5"/>
  <c r="Q71" i="5"/>
  <c r="Q63" i="5"/>
  <c r="Q55" i="5"/>
  <c r="Q32" i="5"/>
  <c r="O174" i="4"/>
  <c r="O138" i="4"/>
  <c r="O93" i="4"/>
  <c r="Q50" i="5"/>
  <c r="Q42" i="5"/>
  <c r="Q34" i="5"/>
  <c r="Q25" i="5"/>
  <c r="Q14" i="5"/>
  <c r="O83" i="4"/>
  <c r="O45" i="4"/>
  <c r="O97" i="3"/>
  <c r="O30" i="3"/>
  <c r="O15" i="3"/>
  <c r="O140" i="1"/>
  <c r="O53" i="1"/>
  <c r="O90" i="2"/>
  <c r="O29" i="3"/>
  <c r="O13" i="3"/>
  <c r="O26" i="1"/>
  <c r="Q54" i="5"/>
  <c r="Q46" i="5"/>
  <c r="Q38" i="5"/>
  <c r="Q30" i="5"/>
  <c r="Q21" i="5"/>
  <c r="O103" i="4"/>
  <c r="O61" i="4"/>
  <c r="O77" i="3"/>
  <c r="O69" i="3"/>
  <c r="O61" i="3"/>
  <c r="O47" i="3"/>
  <c r="O26" i="3"/>
  <c r="O98" i="1"/>
  <c r="O26" i="2"/>
  <c r="Q53" i="5"/>
  <c r="Q45" i="5"/>
  <c r="Q37" i="5"/>
  <c r="Q29" i="5"/>
  <c r="Q20" i="5"/>
  <c r="O102" i="4"/>
  <c r="O60" i="4"/>
  <c r="O60" i="3"/>
  <c r="O53" i="3"/>
  <c r="O34" i="3"/>
  <c r="O90" i="1"/>
  <c r="Q44" i="5"/>
  <c r="Q36" i="5"/>
  <c r="Q28" i="5"/>
  <c r="Q16" i="5"/>
  <c r="O50" i="4"/>
  <c r="O91" i="3"/>
  <c r="O75" i="3"/>
  <c r="O24" i="3"/>
  <c r="O16" i="3"/>
  <c r="O76" i="1"/>
  <c r="O106" i="2"/>
  <c r="Q51" i="5"/>
  <c r="Q43" i="5"/>
  <c r="Q35" i="5"/>
  <c r="Q26" i="5"/>
  <c r="Q15" i="5"/>
  <c r="O92" i="4"/>
  <c r="O47" i="4"/>
  <c r="O66" i="3"/>
  <c r="O58" i="3"/>
  <c r="O51" i="3"/>
  <c r="O43" i="3"/>
  <c r="O23" i="3"/>
  <c r="O154" i="1"/>
  <c r="O68" i="1"/>
  <c r="O98" i="2"/>
  <c r="O138" i="1"/>
  <c r="O116" i="1"/>
  <c r="O93" i="1"/>
  <c r="O74" i="1"/>
  <c r="O52" i="1"/>
  <c r="O21" i="1"/>
  <c r="O66" i="8"/>
  <c r="O150" i="9"/>
  <c r="O142" i="9"/>
  <c r="O133" i="9"/>
  <c r="O124" i="9"/>
  <c r="O116" i="9"/>
  <c r="O108" i="9"/>
  <c r="O98" i="9"/>
  <c r="O89" i="9"/>
  <c r="O80" i="9"/>
  <c r="O72" i="9"/>
  <c r="O64" i="9"/>
  <c r="O55" i="9"/>
  <c r="O47" i="9"/>
  <c r="O38" i="9"/>
  <c r="O29" i="9"/>
  <c r="O21" i="9"/>
  <c r="O224" i="4"/>
  <c r="O208" i="4"/>
  <c r="O192" i="4"/>
  <c r="O176" i="4"/>
  <c r="O156" i="4"/>
  <c r="O125" i="4"/>
  <c r="O94" i="4"/>
  <c r="O70" i="4"/>
  <c r="O29" i="4"/>
  <c r="O158" i="3"/>
  <c r="O152" i="3"/>
  <c r="O134" i="3"/>
  <c r="O128" i="3"/>
  <c r="O108" i="3"/>
  <c r="O102" i="3"/>
  <c r="O96" i="3"/>
  <c r="O89" i="3"/>
  <c r="O52" i="3"/>
  <c r="O46" i="3"/>
  <c r="O133" i="1"/>
  <c r="O114" i="1"/>
  <c r="O92" i="1"/>
  <c r="O69" i="1"/>
  <c r="O50" i="1"/>
  <c r="O18" i="1"/>
  <c r="O58" i="2"/>
  <c r="O58" i="8"/>
  <c r="O149" i="9"/>
  <c r="O141" i="9"/>
  <c r="O132" i="9"/>
  <c r="O123" i="9"/>
  <c r="O115" i="9"/>
  <c r="O107" i="9"/>
  <c r="O97" i="9"/>
  <c r="O88" i="9"/>
  <c r="O79" i="9"/>
  <c r="O71" i="9"/>
  <c r="O63" i="9"/>
  <c r="O54" i="9"/>
  <c r="O46" i="9"/>
  <c r="O37" i="9"/>
  <c r="O28" i="9"/>
  <c r="O20" i="9"/>
  <c r="O11" i="9"/>
  <c r="O31" i="9"/>
  <c r="O45" i="9"/>
  <c r="O10" i="8"/>
  <c r="O45" i="3"/>
  <c r="O36" i="3"/>
  <c r="O28" i="3"/>
  <c r="O14" i="3"/>
  <c r="O149" i="1"/>
  <c r="O130" i="1"/>
  <c r="O108" i="1"/>
  <c r="O85" i="1"/>
  <c r="O66" i="1"/>
  <c r="O42" i="1"/>
  <c r="O107" i="8"/>
  <c r="O42" i="8"/>
  <c r="O147" i="9"/>
  <c r="O138" i="9"/>
  <c r="O129" i="9"/>
  <c r="O121" i="9"/>
  <c r="O113" i="9"/>
  <c r="O103" i="9"/>
  <c r="O95" i="9"/>
  <c r="O86" i="9"/>
  <c r="O77" i="9"/>
  <c r="O69" i="9"/>
  <c r="O61" i="9"/>
  <c r="O52" i="9"/>
  <c r="O44" i="9"/>
  <c r="O35" i="9"/>
  <c r="O26" i="9"/>
  <c r="O17" i="9"/>
  <c r="O50" i="8"/>
  <c r="O130" i="9"/>
  <c r="O114" i="9"/>
  <c r="O87" i="9"/>
  <c r="O62" i="9"/>
  <c r="O53" i="9"/>
  <c r="O36" i="9"/>
  <c r="O10" i="9"/>
  <c r="Q17" i="5"/>
  <c r="O217" i="4"/>
  <c r="O201" i="4"/>
  <c r="O185" i="4"/>
  <c r="O167" i="4"/>
  <c r="O146" i="4"/>
  <c r="O115" i="4"/>
  <c r="O84" i="4"/>
  <c r="O59" i="4"/>
  <c r="O172" i="3"/>
  <c r="O150" i="3"/>
  <c r="O144" i="3"/>
  <c r="O138" i="3"/>
  <c r="O132" i="3"/>
  <c r="O119" i="3"/>
  <c r="O113" i="3"/>
  <c r="O106" i="3"/>
  <c r="O100" i="3"/>
  <c r="O56" i="3"/>
  <c r="O50" i="3"/>
  <c r="O35" i="3"/>
  <c r="O19" i="3"/>
  <c r="O148" i="1"/>
  <c r="O125" i="1"/>
  <c r="O106" i="1"/>
  <c r="O84" i="1"/>
  <c r="O61" i="1"/>
  <c r="O37" i="1"/>
  <c r="O34" i="2"/>
  <c r="O96" i="8"/>
  <c r="O34" i="8"/>
  <c r="O146" i="9"/>
  <c r="O137" i="9"/>
  <c r="O128" i="9"/>
  <c r="O120" i="9"/>
  <c r="O112" i="9"/>
  <c r="O102" i="9"/>
  <c r="O94" i="9"/>
  <c r="O84" i="9"/>
  <c r="O76" i="9"/>
  <c r="O68" i="9"/>
  <c r="O59" i="9"/>
  <c r="O51" i="9"/>
  <c r="O43" i="9"/>
  <c r="O34" i="9"/>
  <c r="O25" i="9"/>
  <c r="O16" i="9"/>
  <c r="O148" i="9"/>
  <c r="O122" i="9"/>
  <c r="O96" i="9"/>
  <c r="O70" i="9"/>
  <c r="O27" i="9"/>
  <c r="O146" i="1"/>
  <c r="O124" i="1"/>
  <c r="O101" i="1"/>
  <c r="O82" i="1"/>
  <c r="O60" i="1"/>
  <c r="O34" i="1"/>
  <c r="O88" i="8"/>
  <c r="O26" i="8"/>
  <c r="O145" i="9"/>
  <c r="O136" i="9"/>
  <c r="O127" i="9"/>
  <c r="O119" i="9"/>
  <c r="O111" i="9"/>
  <c r="O101" i="9"/>
  <c r="O93" i="9"/>
  <c r="O83" i="9"/>
  <c r="O75" i="9"/>
  <c r="O67" i="9"/>
  <c r="O58" i="9"/>
  <c r="O50" i="9"/>
  <c r="O42" i="9"/>
  <c r="O33" i="9"/>
  <c r="O24" i="9"/>
  <c r="O15" i="9"/>
  <c r="O140" i="9"/>
  <c r="O78" i="9"/>
  <c r="O19" i="9"/>
  <c r="O141" i="1"/>
  <c r="O122" i="1"/>
  <c r="O100" i="1"/>
  <c r="O77" i="1"/>
  <c r="O58" i="1"/>
  <c r="O29" i="1"/>
  <c r="O80" i="8"/>
  <c r="O144" i="9"/>
  <c r="O135" i="9"/>
  <c r="O126" i="9"/>
  <c r="O118" i="9"/>
  <c r="O110" i="9"/>
  <c r="O100" i="9"/>
  <c r="O91" i="9"/>
  <c r="O82" i="9"/>
  <c r="O74" i="9"/>
  <c r="O66" i="9"/>
  <c r="O57" i="9"/>
  <c r="O49" i="9"/>
  <c r="O40" i="9"/>
  <c r="O32" i="9"/>
  <c r="O14" i="9"/>
  <c r="O154" i="9"/>
  <c r="O139" i="9"/>
  <c r="O92" i="9"/>
  <c r="O41" i="9"/>
  <c r="O85" i="9"/>
  <c r="O60" i="9"/>
  <c r="O131" i="9"/>
  <c r="O106" i="9"/>
  <c r="L31" i="9"/>
  <c r="L156" i="9" s="1"/>
  <c r="Q13" i="5"/>
  <c r="O223" i="4"/>
  <c r="O215" i="4"/>
  <c r="O207" i="4"/>
  <c r="O199" i="4"/>
  <c r="O191" i="4"/>
  <c r="O183" i="4"/>
  <c r="O175" i="4"/>
  <c r="O165" i="4"/>
  <c r="O155" i="4"/>
  <c r="O143" i="4"/>
  <c r="O133" i="4"/>
  <c r="O123" i="4"/>
  <c r="O111" i="4"/>
  <c r="O101" i="4"/>
  <c r="O91" i="4"/>
  <c r="O79" i="4"/>
  <c r="O69" i="4"/>
  <c r="O58" i="4"/>
  <c r="O44" i="4"/>
  <c r="O26" i="4"/>
  <c r="O154" i="4"/>
  <c r="O142" i="4"/>
  <c r="O132" i="4"/>
  <c r="O122" i="4"/>
  <c r="O110" i="4"/>
  <c r="O100" i="4"/>
  <c r="O90" i="4"/>
  <c r="O78" i="4"/>
  <c r="O68" i="4"/>
  <c r="O55" i="4"/>
  <c r="O43" i="4"/>
  <c r="O20" i="4"/>
  <c r="Q27" i="5"/>
  <c r="Q19" i="5"/>
  <c r="Q11" i="5"/>
  <c r="O229" i="4"/>
  <c r="O221" i="4"/>
  <c r="O213" i="4"/>
  <c r="O205" i="4"/>
  <c r="O197" i="4"/>
  <c r="O189" i="4"/>
  <c r="O181" i="4"/>
  <c r="O173" i="4"/>
  <c r="O163" i="4"/>
  <c r="O151" i="4"/>
  <c r="O141" i="4"/>
  <c r="O131" i="4"/>
  <c r="O119" i="4"/>
  <c r="O109" i="4"/>
  <c r="O99" i="4"/>
  <c r="O87" i="4"/>
  <c r="O77" i="4"/>
  <c r="O67" i="4"/>
  <c r="O53" i="4"/>
  <c r="O42" i="4"/>
  <c r="O19" i="4"/>
  <c r="O82" i="2"/>
  <c r="Q18" i="5"/>
  <c r="O228" i="4"/>
  <c r="O220" i="4"/>
  <c r="O212" i="4"/>
  <c r="O204" i="4"/>
  <c r="O196" i="4"/>
  <c r="O188" i="4"/>
  <c r="O180" i="4"/>
  <c r="O172" i="4"/>
  <c r="O162" i="4"/>
  <c r="O150" i="4"/>
  <c r="O140" i="4"/>
  <c r="O130" i="4"/>
  <c r="O118" i="4"/>
  <c r="O108" i="4"/>
  <c r="O98" i="4"/>
  <c r="O86" i="4"/>
  <c r="O76" i="4"/>
  <c r="O66" i="4"/>
  <c r="O52" i="4"/>
  <c r="O37" i="4"/>
  <c r="O16" i="4"/>
  <c r="O11" i="2"/>
  <c r="O19" i="2"/>
  <c r="O27" i="2"/>
  <c r="O35" i="2"/>
  <c r="O43" i="2"/>
  <c r="O51" i="2"/>
  <c r="O59" i="2"/>
  <c r="O67" i="2"/>
  <c r="O75" i="2"/>
  <c r="O83" i="2"/>
  <c r="O91" i="2"/>
  <c r="O99" i="2"/>
  <c r="O12" i="2"/>
  <c r="O20" i="2"/>
  <c r="O28" i="2"/>
  <c r="O36" i="2"/>
  <c r="O44" i="2"/>
  <c r="O52" i="2"/>
  <c r="O60" i="2"/>
  <c r="O68" i="2"/>
  <c r="O76" i="2"/>
  <c r="O84" i="2"/>
  <c r="O92" i="2"/>
  <c r="O100" i="2"/>
  <c r="O13" i="2"/>
  <c r="O21" i="2"/>
  <c r="O29" i="2"/>
  <c r="O37" i="2"/>
  <c r="O45" i="2"/>
  <c r="O53" i="2"/>
  <c r="O61" i="2"/>
  <c r="O69" i="2"/>
  <c r="O77" i="2"/>
  <c r="O85" i="2"/>
  <c r="O93" i="2"/>
  <c r="O101" i="2"/>
  <c r="O14" i="2"/>
  <c r="O22" i="2"/>
  <c r="O30" i="2"/>
  <c r="O38" i="2"/>
  <c r="O46" i="2"/>
  <c r="O54" i="2"/>
  <c r="O62" i="2"/>
  <c r="O70" i="2"/>
  <c r="O78" i="2"/>
  <c r="O86" i="2"/>
  <c r="O94" i="2"/>
  <c r="O102" i="2"/>
  <c r="O23" i="2"/>
  <c r="O31" i="2"/>
  <c r="O39" i="2"/>
  <c r="O47" i="2"/>
  <c r="O55" i="2"/>
  <c r="O63" i="2"/>
  <c r="O71" i="2"/>
  <c r="O79" i="2"/>
  <c r="O87" i="2"/>
  <c r="O95" i="2"/>
  <c r="O103" i="2"/>
  <c r="O16" i="2"/>
  <c r="O24" i="2"/>
  <c r="O32" i="2"/>
  <c r="O40" i="2"/>
  <c r="O48" i="2"/>
  <c r="O56" i="2"/>
  <c r="O64" i="2"/>
  <c r="O72" i="2"/>
  <c r="O80" i="2"/>
  <c r="O88" i="2"/>
  <c r="O96" i="2"/>
  <c r="O104" i="2"/>
  <c r="O17" i="2"/>
  <c r="O25" i="2"/>
  <c r="O33" i="2"/>
  <c r="O41" i="2"/>
  <c r="O49" i="2"/>
  <c r="O57" i="2"/>
  <c r="O65" i="2"/>
  <c r="O73" i="2"/>
  <c r="O81" i="2"/>
  <c r="O89" i="2"/>
  <c r="O97" i="2"/>
  <c r="O105" i="2"/>
  <c r="O227" i="4"/>
  <c r="O219" i="4"/>
  <c r="O211" i="4"/>
  <c r="O203" i="4"/>
  <c r="O195" i="4"/>
  <c r="O187" i="4"/>
  <c r="O179" i="4"/>
  <c r="O171" i="4"/>
  <c r="O159" i="4"/>
  <c r="O149" i="4"/>
  <c r="O139" i="4"/>
  <c r="O127" i="4"/>
  <c r="O117" i="4"/>
  <c r="O107" i="4"/>
  <c r="O95" i="4"/>
  <c r="O85" i="4"/>
  <c r="O75" i="4"/>
  <c r="O63" i="4"/>
  <c r="O51" i="4"/>
  <c r="O36" i="4"/>
  <c r="O66" i="2"/>
  <c r="O11" i="8"/>
  <c r="O19" i="8"/>
  <c r="O27" i="8"/>
  <c r="O35" i="8"/>
  <c r="O43" i="8"/>
  <c r="O51" i="8"/>
  <c r="O59" i="8"/>
  <c r="O73" i="8"/>
  <c r="O81" i="8"/>
  <c r="O89" i="8"/>
  <c r="O97" i="8"/>
  <c r="O108" i="8"/>
  <c r="O12" i="8"/>
  <c r="O20" i="8"/>
  <c r="O28" i="8"/>
  <c r="O36" i="8"/>
  <c r="O44" i="8"/>
  <c r="O52" i="8"/>
  <c r="O60" i="8"/>
  <c r="O74" i="8"/>
  <c r="O82" i="8"/>
  <c r="O90" i="8"/>
  <c r="O98" i="8"/>
  <c r="O109" i="8"/>
  <c r="O13" i="8"/>
  <c r="O21" i="8"/>
  <c r="O29" i="8"/>
  <c r="O37" i="8"/>
  <c r="O45" i="8"/>
  <c r="O53" i="8"/>
  <c r="O61" i="8"/>
  <c r="O67" i="8"/>
  <c r="O75" i="8"/>
  <c r="O83" i="8"/>
  <c r="O91" i="8"/>
  <c r="O99" i="8"/>
  <c r="O110" i="8"/>
  <c r="O14" i="8"/>
  <c r="O22" i="8"/>
  <c r="O30" i="8"/>
  <c r="O38" i="8"/>
  <c r="O46" i="8"/>
  <c r="O54" i="8"/>
  <c r="O62" i="8"/>
  <c r="O68" i="8"/>
  <c r="O76" i="8"/>
  <c r="O84" i="8"/>
  <c r="O92" i="8"/>
  <c r="O100" i="8"/>
  <c r="O15" i="8"/>
  <c r="O23" i="8"/>
  <c r="O31" i="8"/>
  <c r="O39" i="8"/>
  <c r="O47" i="8"/>
  <c r="O55" i="8"/>
  <c r="O63" i="8"/>
  <c r="O69" i="8"/>
  <c r="O77" i="8"/>
  <c r="O85" i="8"/>
  <c r="O93" i="8"/>
  <c r="O101" i="8"/>
  <c r="O16" i="8"/>
  <c r="O24" i="8"/>
  <c r="O32" i="8"/>
  <c r="O40" i="8"/>
  <c r="O48" i="8"/>
  <c r="O56" i="8"/>
  <c r="O64" i="8"/>
  <c r="O70" i="8"/>
  <c r="O78" i="8"/>
  <c r="O86" i="8"/>
  <c r="O94" i="8"/>
  <c r="O102" i="8"/>
  <c r="O17" i="8"/>
  <c r="O25" i="8"/>
  <c r="O33" i="8"/>
  <c r="O41" i="8"/>
  <c r="O49" i="8"/>
  <c r="O57" i="8"/>
  <c r="O65" i="8"/>
  <c r="O71" i="8"/>
  <c r="O79" i="8"/>
  <c r="O87" i="8"/>
  <c r="O95" i="8"/>
  <c r="O106" i="8"/>
  <c r="O17" i="4"/>
  <c r="O18" i="4"/>
  <c r="O27" i="4"/>
  <c r="O35" i="4"/>
  <c r="O12" i="4"/>
  <c r="O21" i="4"/>
  <c r="O30" i="4"/>
  <c r="O38" i="4"/>
  <c r="O46" i="4"/>
  <c r="O54" i="4"/>
  <c r="O62" i="4"/>
  <c r="O13" i="4"/>
  <c r="O22" i="4"/>
  <c r="O31" i="4"/>
  <c r="O39" i="4"/>
  <c r="O14" i="4"/>
  <c r="O23" i="4"/>
  <c r="O32" i="4"/>
  <c r="O40" i="4"/>
  <c r="O48" i="4"/>
  <c r="O56" i="4"/>
  <c r="O64" i="4"/>
  <c r="O72" i="4"/>
  <c r="O80" i="4"/>
  <c r="O88" i="4"/>
  <c r="O96" i="4"/>
  <c r="O104" i="4"/>
  <c r="O112" i="4"/>
  <c r="O120" i="4"/>
  <c r="O128" i="4"/>
  <c r="O136" i="4"/>
  <c r="O144" i="4"/>
  <c r="O152" i="4"/>
  <c r="O160" i="4"/>
  <c r="O168" i="4"/>
  <c r="O15" i="4"/>
  <c r="O24" i="4"/>
  <c r="O33" i="4"/>
  <c r="O41" i="4"/>
  <c r="O49" i="4"/>
  <c r="O57" i="4"/>
  <c r="O65" i="4"/>
  <c r="O73" i="4"/>
  <c r="O81" i="4"/>
  <c r="O89" i="4"/>
  <c r="O97" i="4"/>
  <c r="O105" i="4"/>
  <c r="O113" i="4"/>
  <c r="O121" i="4"/>
  <c r="O129" i="4"/>
  <c r="O137" i="4"/>
  <c r="O145" i="4"/>
  <c r="O153" i="4"/>
  <c r="O161" i="4"/>
  <c r="O169" i="4"/>
  <c r="O131" i="3"/>
  <c r="O126" i="3"/>
  <c r="O121" i="3"/>
  <c r="O110" i="3"/>
  <c r="O104" i="3"/>
  <c r="O99" i="3"/>
  <c r="O94" i="3"/>
  <c r="O88" i="3"/>
  <c r="O82" i="3"/>
  <c r="O76" i="3"/>
  <c r="O70" i="3"/>
  <c r="O65" i="3"/>
  <c r="O49" i="3"/>
  <c r="O44" i="3"/>
  <c r="O39" i="3"/>
  <c r="O33" i="3"/>
  <c r="O27" i="3"/>
  <c r="O22" i="3"/>
  <c r="O17" i="3"/>
  <c r="O12" i="3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5" i="1"/>
  <c r="O152" i="9"/>
  <c r="O136" i="3"/>
  <c r="O120" i="3"/>
  <c r="O115" i="3"/>
  <c r="O109" i="3"/>
  <c r="O93" i="3"/>
  <c r="O87" i="3"/>
  <c r="O81" i="3"/>
  <c r="O64" i="3"/>
  <c r="O59" i="3"/>
  <c r="O54" i="3"/>
  <c r="O38" i="3"/>
  <c r="O32" i="3"/>
  <c r="O21" i="3"/>
  <c r="O11" i="3"/>
  <c r="O152" i="1"/>
  <c r="O144" i="1"/>
  <c r="O136" i="1"/>
  <c r="O128" i="1"/>
  <c r="O120" i="1"/>
  <c r="O112" i="1"/>
  <c r="O104" i="1"/>
  <c r="O96" i="1"/>
  <c r="O88" i="1"/>
  <c r="O80" i="1"/>
  <c r="O72" i="1"/>
  <c r="O64" i="1"/>
  <c r="O56" i="1"/>
  <c r="O48" i="1"/>
  <c r="O40" i="1"/>
  <c r="O32" i="1"/>
  <c r="O24" i="1"/>
  <c r="O14" i="1"/>
  <c r="O151" i="9"/>
  <c r="O151" i="1"/>
  <c r="O143" i="1"/>
  <c r="O135" i="1"/>
  <c r="O127" i="1"/>
  <c r="O119" i="1"/>
  <c r="O111" i="1"/>
  <c r="O103" i="1"/>
  <c r="O95" i="1"/>
  <c r="O87" i="1"/>
  <c r="O79" i="1"/>
  <c r="O71" i="1"/>
  <c r="O63" i="1"/>
  <c r="O55" i="1"/>
  <c r="O47" i="1"/>
  <c r="O39" i="1"/>
  <c r="O31" i="1"/>
  <c r="O23" i="1"/>
  <c r="O13" i="1"/>
  <c r="O74" i="3"/>
  <c r="O68" i="3"/>
  <c r="O63" i="3"/>
  <c r="O42" i="3"/>
  <c r="O37" i="3"/>
  <c r="O31" i="3"/>
  <c r="O25" i="3"/>
  <c r="O150" i="1"/>
  <c r="O142" i="1"/>
  <c r="O134" i="1"/>
  <c r="O126" i="1"/>
  <c r="O118" i="1"/>
  <c r="O110" i="1"/>
  <c r="O102" i="1"/>
  <c r="O94" i="1"/>
  <c r="O86" i="1"/>
  <c r="O78" i="1"/>
  <c r="O70" i="1"/>
  <c r="O62" i="1"/>
  <c r="O54" i="1"/>
  <c r="O46" i="1"/>
  <c r="O38" i="1"/>
  <c r="O30" i="1"/>
  <c r="O22" i="1"/>
  <c r="O44" i="1"/>
  <c r="O36" i="1"/>
  <c r="O28" i="1"/>
  <c r="O20" i="1"/>
  <c r="O155" i="1"/>
  <c r="O147" i="1"/>
  <c r="O139" i="1"/>
  <c r="O131" i="1"/>
  <c r="O123" i="1"/>
  <c r="O115" i="1"/>
  <c r="O107" i="1"/>
  <c r="O99" i="1"/>
  <c r="O91" i="1"/>
  <c r="O83" i="1"/>
  <c r="O75" i="1"/>
  <c r="O67" i="1"/>
  <c r="O59" i="1"/>
  <c r="O51" i="1"/>
  <c r="O43" i="1"/>
  <c r="O35" i="1"/>
  <c r="O27" i="1"/>
  <c r="O19" i="1"/>
  <c r="O12" i="1"/>
  <c r="O155" i="9"/>
  <c r="O25" i="4"/>
  <c r="O17" i="1"/>
  <c r="O174" i="17" l="1"/>
  <c r="D24" i="6" s="1"/>
  <c r="E24" i="6" s="1"/>
  <c r="G24" i="6" s="1"/>
  <c r="J24" i="6" s="1"/>
  <c r="O165" i="12"/>
  <c r="D20" i="6" s="1"/>
  <c r="O231" i="4"/>
  <c r="D13" i="6" s="1"/>
  <c r="Q132" i="5"/>
  <c r="O101" i="16"/>
  <c r="D23" i="6" s="1"/>
  <c r="O7" i="10"/>
  <c r="Q44" i="10"/>
  <c r="O60" i="10"/>
  <c r="P60" i="10" s="1"/>
  <c r="Q45" i="10"/>
  <c r="O61" i="10"/>
  <c r="P61" i="10" s="1"/>
  <c r="O164" i="15"/>
  <c r="D22" i="6" s="1"/>
  <c r="O73" i="13"/>
  <c r="D21" i="6" s="1"/>
  <c r="E21" i="6" s="1"/>
  <c r="G21" i="6" s="1"/>
  <c r="O122" i="18"/>
  <c r="O8" i="10"/>
  <c r="O26" i="10"/>
  <c r="D43" i="10"/>
  <c r="I11" i="10"/>
  <c r="I5" i="10"/>
  <c r="O247" i="3"/>
  <c r="D14" i="6" s="1"/>
  <c r="E14" i="6" s="1"/>
  <c r="G14" i="6" s="1"/>
  <c r="J14" i="6" s="1"/>
  <c r="O95" i="11"/>
  <c r="D19" i="6" s="1"/>
  <c r="E19" i="6" s="1"/>
  <c r="G19" i="6" s="1"/>
  <c r="J19" i="6" s="1"/>
  <c r="O111" i="8"/>
  <c r="D17" i="6" s="1"/>
  <c r="E17" i="6" s="1"/>
  <c r="G17" i="6" s="1"/>
  <c r="J17" i="6" s="1"/>
  <c r="O156" i="9"/>
  <c r="D18" i="6" s="1"/>
  <c r="E18" i="6" s="1"/>
  <c r="G18" i="6" s="1"/>
  <c r="J18" i="6" s="1"/>
  <c r="O156" i="1"/>
  <c r="D15" i="6" s="1"/>
  <c r="E15" i="6" s="1"/>
  <c r="G15" i="6" s="1"/>
  <c r="J15" i="6" s="1"/>
  <c r="O107" i="2"/>
  <c r="D16" i="6" s="1"/>
  <c r="E16" i="6" s="1"/>
  <c r="G16" i="6" s="1"/>
  <c r="J16" i="6" s="1"/>
  <c r="N8" i="10"/>
  <c r="I25" i="10"/>
  <c r="L156" i="1"/>
  <c r="I17" i="10" s="1"/>
  <c r="F25" i="10"/>
  <c r="N11" i="10"/>
  <c r="I36" i="10"/>
  <c r="N10" i="10" s="1"/>
  <c r="E23" i="6" l="1"/>
  <c r="D28" i="6"/>
  <c r="E13" i="6"/>
  <c r="G13" i="6" s="1"/>
  <c r="J13" i="6" s="1"/>
  <c r="E22" i="6"/>
  <c r="E20" i="6"/>
  <c r="G20" i="6" s="1"/>
  <c r="J20" i="6" s="1"/>
  <c r="O59" i="10"/>
  <c r="Q26" i="10"/>
  <c r="Q43" i="10" s="1"/>
  <c r="N6" i="10"/>
  <c r="P6" i="10" s="1"/>
  <c r="I13" i="10"/>
  <c r="F43" i="10"/>
  <c r="D45" i="10"/>
  <c r="N7" i="10"/>
  <c r="P7" i="10" s="1"/>
  <c r="N5" i="10"/>
  <c r="I7" i="10"/>
  <c r="P8" i="10"/>
  <c r="P10" i="10"/>
  <c r="I19" i="10"/>
  <c r="I45" i="10"/>
  <c r="I38" i="10"/>
  <c r="G23" i="6" l="1"/>
  <c r="J23" i="6" s="1"/>
  <c r="E28" i="6"/>
  <c r="G28" i="6"/>
  <c r="J28" i="6" s="1"/>
  <c r="J30" i="6" s="1"/>
  <c r="G22" i="6"/>
  <c r="J22" i="6" s="1"/>
  <c r="P59" i="10"/>
  <c r="J21" i="6"/>
  <c r="O11" i="10"/>
  <c r="F45" i="10"/>
  <c r="P5" i="10"/>
  <c r="J32" i="6" l="1"/>
  <c r="K36" i="6" s="1"/>
  <c r="J31" i="6"/>
  <c r="K35" i="6" s="1"/>
  <c r="P11" i="10"/>
  <c r="F50" i="10"/>
  <c r="O30" i="10" l="1"/>
  <c r="O31" i="10"/>
  <c r="O12" i="10"/>
  <c r="P20" i="10" s="1"/>
  <c r="F52" i="10"/>
  <c r="Q31" i="10" l="1"/>
  <c r="Q48" i="10" s="1"/>
  <c r="O64" i="10"/>
  <c r="P64" i="10" s="1"/>
  <c r="Q30" i="10"/>
  <c r="Q47" i="10" s="1"/>
  <c r="O63" i="10"/>
  <c r="P12" i="10"/>
  <c r="P63" i="10" l="1"/>
  <c r="P7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Nevy Orbelina Sanchez</author>
    <author>Donatilo González Martínez</author>
  </authors>
  <commentList>
    <comment ref="K8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PRIORIDAD APLICADA EN MARZO 2012</t>
        </r>
      </text>
    </comment>
    <comment ref="K8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 APLICO PRIORIDAD A LOS RECLAMOS PRESENTADOS EN LA CEIBA
Nevy Orbelina Sanchez: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Donatilo González Martínez:</t>
        </r>
        <r>
          <rPr>
            <sz val="9"/>
            <color indexed="81"/>
            <rFont val="Tahoma"/>
            <family val="2"/>
          </rPr>
          <t xml:space="preserve">
QUEDA PENDIENTE EL PAGO DE UNO DE LOS BENEFICIARIOS, YA QUE NO SE PRESENTO.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Nevy Orbelina Sanchez</author>
  </authors>
  <commentList>
    <comment ref="K10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PRIORIDAD APLICADA EN MARZO 2012</t>
        </r>
      </text>
    </comment>
    <comment ref="K10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SE APLICO PRIORIDAD A LOS RECLAMOS PRESENTADOS EN LA CEIBA
Nevy Orbelina Sanchez: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Nevy Orbelina Sanchez Salgado</author>
  </authors>
  <commentList>
    <comment ref="F20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Prima Neta Emitida Menos Primas Enf. Cat. Ahorro Pinos de Oro-Prima Cobertura de Desempleo
(Ver Informe Consolidado)
Nevy Orbelina Sanchez Salgado: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<sst xmlns="http://schemas.openxmlformats.org/spreadsheetml/2006/main" count="12203" uniqueCount="3479">
  <si>
    <t xml:space="preserve">COMPAÑÍA:   </t>
  </si>
  <si>
    <t>EQUIDAD COMPAÑÍA DE SEGUROS, S. A.</t>
  </si>
  <si>
    <t>MONEDA:</t>
  </si>
  <si>
    <t>LEMPIRA</t>
  </si>
  <si>
    <t>TIPO DE CAMBIO</t>
  </si>
  <si>
    <t>VIGENCIA DEL CONTRATO</t>
  </si>
  <si>
    <t>DEL 1 DE ENERO DE 2013 AL 31 DE DICIEMBRE DE 2013</t>
  </si>
  <si>
    <t>SINIESTROS PAGADOS A CARGO DE LOS REASEGURADORES</t>
  </si>
  <si>
    <t>CONTRATO DE REASEGURO DE EXCESOS DE PÉRDIDA OPERATIVO DE VIDA 2013</t>
  </si>
  <si>
    <t>Número de Siniestro</t>
  </si>
  <si>
    <t>Plan Afectado</t>
  </si>
  <si>
    <t>Nombre del Asegurado</t>
  </si>
  <si>
    <t>Causa del siniestro</t>
  </si>
  <si>
    <t>Cobertura afectada</t>
  </si>
  <si>
    <t>Fecha del siniestro</t>
  </si>
  <si>
    <t>Fecha de aviso</t>
  </si>
  <si>
    <t>Fecha de pago</t>
  </si>
  <si>
    <t>Monto pagado por Plan</t>
  </si>
  <si>
    <t>Monto Total Pagado</t>
  </si>
  <si>
    <t>Prioridad</t>
  </si>
  <si>
    <t>A/C Reaseguro</t>
  </si>
  <si>
    <t>Observaciones</t>
  </si>
  <si>
    <t>R-CV-443-10-2013</t>
  </si>
  <si>
    <t>AHORRO PINOS DE ORO</t>
  </si>
  <si>
    <t>ALEXIS RAFAEL MEDINA AYUELA</t>
  </si>
  <si>
    <t>ACCIDENTE DE TRANSITO</t>
  </si>
  <si>
    <t>MUERTE ACCIDENTAL</t>
  </si>
  <si>
    <t>R-CV-672-10-2013</t>
  </si>
  <si>
    <t>PRÉSTAMO</t>
  </si>
  <si>
    <t>R-CV-274-02-2013</t>
  </si>
  <si>
    <t>AHORRO</t>
  </si>
  <si>
    <t>ANA JULIA MONTENEGRO FLORES</t>
  </si>
  <si>
    <t>EVENTO CEREBROVASCULAR HEMORRAGICO</t>
  </si>
  <si>
    <t>MUERTE</t>
  </si>
  <si>
    <t>R-CV-336-02-2013</t>
  </si>
  <si>
    <t>R-CV-15-05-2013</t>
  </si>
  <si>
    <t>SALDO DE DEUDA</t>
  </si>
  <si>
    <t>ANDRES ANTONIO ALVARADO ZAVALA</t>
  </si>
  <si>
    <t>HOMICIDIO</t>
  </si>
  <si>
    <t>R-CV-412-04-2013</t>
  </si>
  <si>
    <t>R-CV-328-04-2013</t>
  </si>
  <si>
    <t>R-CV-542-12-2013</t>
  </si>
  <si>
    <t>CARLOS ALFREDO FUNEZ RIVERA</t>
  </si>
  <si>
    <t>CHOQUE SEPTICO</t>
  </si>
  <si>
    <t>R-CV-740-12-2013</t>
  </si>
  <si>
    <t>R-CV-512-07-2013</t>
  </si>
  <si>
    <t>CASTO ENRIQUE RODRIGUEZ</t>
  </si>
  <si>
    <t>R-CV-290-06-2013</t>
  </si>
  <si>
    <t>R-CV-463-06-2013</t>
  </si>
  <si>
    <t>AF-020/2013</t>
  </si>
  <si>
    <t xml:space="preserve">AMPARO FUNEBRE </t>
  </si>
  <si>
    <t>AF-021/2013</t>
  </si>
  <si>
    <t>R-CV-479-11-2013</t>
  </si>
  <si>
    <t>CELINA TRINIDAD MARIN</t>
  </si>
  <si>
    <t>CANCER GASTRICO</t>
  </si>
  <si>
    <t xml:space="preserve">MUERTE </t>
  </si>
  <si>
    <t>R-CV-712-11-2013</t>
  </si>
  <si>
    <t>R-CV-333-02-2013</t>
  </si>
  <si>
    <t>CLEMENTE GOMEZ MARTINEZ</t>
  </si>
  <si>
    <t>PARO CARDIO RESPIRATORIO</t>
  </si>
  <si>
    <t>R-CV-272-02-2013</t>
  </si>
  <si>
    <t>R-CV-603-09-2013</t>
  </si>
  <si>
    <t>DARLING SHAMIR MONTERO VILLANUEVA</t>
  </si>
  <si>
    <t>R-CV-442-08-2013</t>
  </si>
  <si>
    <t>DENNIS ALBERTO PEREZ ECHEVARRIA</t>
  </si>
  <si>
    <t>R-CV-581-08-2013</t>
  </si>
  <si>
    <t>R-CV-589-08-2013</t>
  </si>
  <si>
    <t>R-CV-548-12-2013</t>
  </si>
  <si>
    <t>DIMAS PINEDA CACERES</t>
  </si>
  <si>
    <t>DIABETES MELLITUS TIPO II</t>
  </si>
  <si>
    <t>R-CV-749-12-2013</t>
  </si>
  <si>
    <t>R-CV-647-10-2013</t>
  </si>
  <si>
    <t>EDITH NOHEMI NUÑEZ</t>
  </si>
  <si>
    <t>R-CV-361-08-2013</t>
  </si>
  <si>
    <t>EDUARDO BANEGAS MUNGIA</t>
  </si>
  <si>
    <t>R-CV-556-08-2013</t>
  </si>
  <si>
    <t>R-CV-276-02-2013</t>
  </si>
  <si>
    <t>ELIA ROSA RIOS MONTES</t>
  </si>
  <si>
    <t>R-CV-338-02-2013</t>
  </si>
  <si>
    <t>R-CV-732-12-2013</t>
  </si>
  <si>
    <t>ERICK ALEXANDER PALMA ALVARADO</t>
  </si>
  <si>
    <t>R-CV-537-12-2013</t>
  </si>
  <si>
    <t>R-CV-490-07-2013</t>
  </si>
  <si>
    <t>GLENDA ESPERANZA DIAZ REYES</t>
  </si>
  <si>
    <t>INFARTO AGUDO DEL MIOCARDIO</t>
  </si>
  <si>
    <t>R-CV-311-07-2013</t>
  </si>
  <si>
    <t>R-CV-437-05-2013</t>
  </si>
  <si>
    <t>HECTOR ANTONIO MARTINEZ CARCAMO</t>
  </si>
  <si>
    <t>AF-019/2013</t>
  </si>
  <si>
    <t>R-CV-471-11-2013</t>
  </si>
  <si>
    <t>HECTOR MANUEL SANTOS</t>
  </si>
  <si>
    <t>CANCER DE PROSTATA</t>
  </si>
  <si>
    <t>DEA-002/2013</t>
  </si>
  <si>
    <t>DIRECTIVOS Y EMPLEADOS</t>
  </si>
  <si>
    <t>R-CV-275-02-2013</t>
  </si>
  <si>
    <t>ISIS GEORGINA MEJIA DIAZ</t>
  </si>
  <si>
    <t>COAGULACIO INTRAVASCULAR DISEMINADA</t>
  </si>
  <si>
    <t>R-CV-337-02-2013</t>
  </si>
  <si>
    <t>R-CV-432-08-2013</t>
  </si>
  <si>
    <t>IVAN JESUS RENDON PORTALES</t>
  </si>
  <si>
    <t>INFARTO CARDIOPULMONAR</t>
  </si>
  <si>
    <t>R-CV-559-08-2013</t>
  </si>
  <si>
    <t>R-SS-8-12-2013</t>
  </si>
  <si>
    <t>JAVIER EDGARDO MORAN ESPINOZA</t>
  </si>
  <si>
    <t>R-CV-11-12-2013</t>
  </si>
  <si>
    <t>R-CV-516-12-2013</t>
  </si>
  <si>
    <t>R-CV-757-12-2013</t>
  </si>
  <si>
    <t>R-CV-303-06-2013</t>
  </si>
  <si>
    <t>JESUS HERNAN FLORES MALDONADO</t>
  </si>
  <si>
    <t>R-CV-480-06-2013</t>
  </si>
  <si>
    <t>R-CV-438-10-2013</t>
  </si>
  <si>
    <t>JOAQUIN SANTOS ARITA</t>
  </si>
  <si>
    <t>R-CV-666-10-2013</t>
  </si>
  <si>
    <t>R-CV-364-05-2013</t>
  </si>
  <si>
    <t>JORGE ALBERTO ALVARADO ALVARADO</t>
  </si>
  <si>
    <t>HERIDA PENETRANTE DE TORAX POR ARMA DE FUEGO</t>
  </si>
  <si>
    <t>R-CV-447-05-2013</t>
  </si>
  <si>
    <t>VE-003/2013</t>
  </si>
  <si>
    <t>JORGE ALBERTO ORTIZ VASQUEZ</t>
  </si>
  <si>
    <t>R-CV-441-05-2013</t>
  </si>
  <si>
    <t>R-CV-488-10-2013</t>
  </si>
  <si>
    <t>JOSE BAUDILIO PINEDA CASTELLANOS</t>
  </si>
  <si>
    <t>R-CV-657-10-2013</t>
  </si>
  <si>
    <t>R-CV-27-11-2013</t>
  </si>
  <si>
    <t xml:space="preserve">JOSE DANILO ORDOÑEZ RODRIGUEZ </t>
  </si>
  <si>
    <t>R-CV-460-11-2013</t>
  </si>
  <si>
    <t>JOSE FELIPE PINEDA FUENTES</t>
  </si>
  <si>
    <t>R-CV-689-11-2013</t>
  </si>
  <si>
    <t>AF-035/2013</t>
  </si>
  <si>
    <t>R-CV-360-05-2013</t>
  </si>
  <si>
    <t>JOSE ROSIBEL VIDES</t>
  </si>
  <si>
    <t>DIABETES MELLITUS II</t>
  </si>
  <si>
    <t>R-CV-444-05-2013</t>
  </si>
  <si>
    <t>R-CV-575-08-2013</t>
  </si>
  <si>
    <t>JOSE WILFREDO SOLIS ESCOBAR</t>
  </si>
  <si>
    <t>TUMOR METASTASICO A PULMON</t>
  </si>
  <si>
    <t>R-CV-443-05-2013</t>
  </si>
  <si>
    <t>JUAN ANTONIO MIRANDA GARCIA</t>
  </si>
  <si>
    <t>HIPERTROFIA PROSTATICA BENIGNA</t>
  </si>
  <si>
    <t>R-BS-02-07-2013</t>
  </si>
  <si>
    <t>PROTECCION FAMILIAR</t>
  </si>
  <si>
    <t>R-CV-287-02-2013</t>
  </si>
  <si>
    <t>JUAN DE DIOS BENITEZ</t>
  </si>
  <si>
    <t>R-CV-357-02-2013</t>
  </si>
  <si>
    <t>R-CV-403-09-2013</t>
  </si>
  <si>
    <t>JULIO CESAR LEIVA ULLOA</t>
  </si>
  <si>
    <t>R-CV-620-09-2013</t>
  </si>
  <si>
    <t>R-CV-348-07-2013</t>
  </si>
  <si>
    <t>LEONARDA HERNANDEZ</t>
  </si>
  <si>
    <t>PANCREATITIS AGUDA ETIELOGIA INFILTRANTE</t>
  </si>
  <si>
    <t>R-CV-539-07-2013</t>
  </si>
  <si>
    <t>R-CV-433-05-2013</t>
  </si>
  <si>
    <t>LEONEL DAGOBERTO VALLADARES ASSENCIO</t>
  </si>
  <si>
    <t>CANCER DE PULMON</t>
  </si>
  <si>
    <t>R-CV-249-04-2013</t>
  </si>
  <si>
    <t>R-CV-383-04-2013</t>
  </si>
  <si>
    <t>ADENOCARCINOMA DE PULMON</t>
  </si>
  <si>
    <t>R-CV-380-09-2013</t>
  </si>
  <si>
    <t>MANUEL DE JESUS MENDOZA TURCIOS</t>
  </si>
  <si>
    <t>R-CV-595-09-2013</t>
  </si>
  <si>
    <t>R-CV-503-07-2013</t>
  </si>
  <si>
    <t>MARCIANA AMADOR SANCHEZ</t>
  </si>
  <si>
    <t>R-CV-408-07-2013</t>
  </si>
  <si>
    <t>R-CV-426-07-2013</t>
  </si>
  <si>
    <t>MARCO ANTONIO GIRON PERATO</t>
  </si>
  <si>
    <t>DIABETES MELLITUS</t>
  </si>
  <si>
    <t>R-CV-543-07-2013</t>
  </si>
  <si>
    <t>R-CV-331-07-2013</t>
  </si>
  <si>
    <t>MARLON GIRABEL MORENO</t>
  </si>
  <si>
    <t>R-CV-519-07-2013</t>
  </si>
  <si>
    <t>R-CV-221-02-2013</t>
  </si>
  <si>
    <t>MIGUEL ANGEL PORTILLO GALDAMEZ</t>
  </si>
  <si>
    <t>AF-008/2013</t>
  </si>
  <si>
    <t>R-CV-349-02-2013</t>
  </si>
  <si>
    <t>PRESTAMO</t>
  </si>
  <si>
    <t>R-CV-12-02-2013</t>
  </si>
  <si>
    <t>R-CV-387-09-2013</t>
  </si>
  <si>
    <t>MOISES ALDANA</t>
  </si>
  <si>
    <t>R-CV-602-09-2013</t>
  </si>
  <si>
    <t>R-CV-487-10-2013</t>
  </si>
  <si>
    <t>NINFA LISETH ERAZO</t>
  </si>
  <si>
    <t>CANCER GASTRICO EC IV</t>
  </si>
  <si>
    <t>R-CV-654-10-2013</t>
  </si>
  <si>
    <t>R-BS-04-10-2013</t>
  </si>
  <si>
    <t>ORLIN ALFREDO PADILLA COREA</t>
  </si>
  <si>
    <t>R-CV-674-10-2013</t>
  </si>
  <si>
    <t>R-CV-669-10-2013</t>
  </si>
  <si>
    <t>R-CV-512-12-2013</t>
  </si>
  <si>
    <t>R-CV-21-06-2013</t>
  </si>
  <si>
    <t>PEDRO ANTONIO CUEVA MORALES</t>
  </si>
  <si>
    <t>R-CV-295-06-2013</t>
  </si>
  <si>
    <t>RUMILDA SANTOS</t>
  </si>
  <si>
    <t>CARDIOPATIA ISQUEMICA</t>
  </si>
  <si>
    <t>R-CV-470-06-2013</t>
  </si>
  <si>
    <t>AF-018/2013</t>
  </si>
  <si>
    <t>R-CV-382-09-2013</t>
  </si>
  <si>
    <t>SAUL GIRON</t>
  </si>
  <si>
    <t>R-CV-596-09-2013</t>
  </si>
  <si>
    <t>R-CV-262-04-2013</t>
  </si>
  <si>
    <t>SERVANDO ALVARADO</t>
  </si>
  <si>
    <t>CIRROSIS HEPATICO</t>
  </si>
  <si>
    <t>R-CV-405-04-2013</t>
  </si>
  <si>
    <t>R-CV-579-08-2013</t>
  </si>
  <si>
    <t>VILMA RAFAELA VIERA HERNANDEZ</t>
  </si>
  <si>
    <t>R-CV-322-07-2013</t>
  </si>
  <si>
    <t>R-CV-505-7-2013</t>
  </si>
  <si>
    <t>AF-025/2013</t>
  </si>
  <si>
    <t>R-CV-376-08-2013</t>
  </si>
  <si>
    <t>WENDY SUYAPA NORALES GAMBOA</t>
  </si>
  <si>
    <t>INFARTO AGUDO DE MIOCARDIO</t>
  </si>
  <si>
    <t>R-CV-730-12-2013</t>
  </si>
  <si>
    <t>R-CV-588-08-2013</t>
  </si>
  <si>
    <t>R-CV-427-10-2013</t>
  </si>
  <si>
    <t>YONI FERNANDO SARMIENTO GIRON</t>
  </si>
  <si>
    <t>R-CV-643-10-2013</t>
  </si>
  <si>
    <t>Total Siniestros :</t>
  </si>
  <si>
    <t xml:space="preserve">Lugar y fecha: </t>
  </si>
  <si>
    <t>Tegucigalpa, M.D.C., 10 de Enero, 2014</t>
  </si>
  <si>
    <t>WILMER IVAN RUIZ AYALA</t>
  </si>
  <si>
    <t>R-CV-822-02-2014</t>
  </si>
  <si>
    <t>PINOS DE ORO</t>
  </si>
  <si>
    <t>R-CV-557-02-2014</t>
  </si>
  <si>
    <t>CANCER DE PANCREAS</t>
  </si>
  <si>
    <t>TOMASA AMADOR MOLINA</t>
  </si>
  <si>
    <t>R-CV-997-07-2014</t>
  </si>
  <si>
    <t>R-CV-716-07-2014</t>
  </si>
  <si>
    <t>CANCER PULMONAR</t>
  </si>
  <si>
    <t>RAFAEL VALLE OLIVA</t>
  </si>
  <si>
    <t>R-CV-1005-07-2014</t>
  </si>
  <si>
    <t>R-CV-735-07-2014</t>
  </si>
  <si>
    <t>ACCIDENTE</t>
  </si>
  <si>
    <t>OMAR ENRIQUE GARCIA POSADAS</t>
  </si>
  <si>
    <t>R-CV-922-05-2014</t>
  </si>
  <si>
    <t>R-CV-669-05-2014</t>
  </si>
  <si>
    <t>MAYRA PATRICIA PAZ</t>
  </si>
  <si>
    <t>R-BS-08-03-2014</t>
  </si>
  <si>
    <t>MARIBEL ALVARADO MEJIA</t>
  </si>
  <si>
    <t>R-CV-630-03-2014</t>
  </si>
  <si>
    <t>R-CV-846-03-2014</t>
  </si>
  <si>
    <t>INSUFICIENCIA RENAL</t>
  </si>
  <si>
    <t>MARIA ELENA VEGA LAGOS</t>
  </si>
  <si>
    <t>R-CV-960-06-2014</t>
  </si>
  <si>
    <t>R-CV-703-06-2014</t>
  </si>
  <si>
    <t>INSUFICIENCIA CARDIACA CONGESTIVA</t>
  </si>
  <si>
    <t>MARCO ANTONIO MALDONADO</t>
  </si>
  <si>
    <t>VIDA DEUDOR</t>
  </si>
  <si>
    <t>R-CV-86-07-2014</t>
  </si>
  <si>
    <t>R-CV-75-06-2014</t>
  </si>
  <si>
    <t>R-CV-74-06-2014</t>
  </si>
  <si>
    <t>R-CV-134-06-2014</t>
  </si>
  <si>
    <t>AMPARO FUNERARIO</t>
  </si>
  <si>
    <t>AF-018-2014</t>
  </si>
  <si>
    <t>R-CV-915-05-2014</t>
  </si>
  <si>
    <t>R-CV-632-05-2014</t>
  </si>
  <si>
    <t>LAURA LEIVA RODRIGUEZ</t>
  </si>
  <si>
    <t>R-CV-37-08-2014</t>
  </si>
  <si>
    <t>R-CV-36-08-2014</t>
  </si>
  <si>
    <t>R-CV-1039-08-2014</t>
  </si>
  <si>
    <t>R-CV-771-08-2014</t>
  </si>
  <si>
    <t>JUANA MIRIAM GARCIA ECHEVERRIA</t>
  </si>
  <si>
    <t>ACCIDENTES PERSONALES</t>
  </si>
  <si>
    <t>R-AP-64-05-2014</t>
  </si>
  <si>
    <t>R-SS-09-05-2014</t>
  </si>
  <si>
    <t>R-CV-625-03-2014</t>
  </si>
  <si>
    <t>R-CV-621-03/2014</t>
  </si>
  <si>
    <t>JUAN ADOLFO CASTELLANOS GUZMAN</t>
  </si>
  <si>
    <t>R-CV-989-07-2014</t>
  </si>
  <si>
    <t>JOSUE ISAI ESPINOZA ORDOÑEZ</t>
  </si>
  <si>
    <t>VE-003/2014</t>
  </si>
  <si>
    <t>R-CV-1144-11-2014</t>
  </si>
  <si>
    <t>R-CV-832-11-2014</t>
  </si>
  <si>
    <t>JOSE YOBANY MARTINEZ REYES</t>
  </si>
  <si>
    <t>R-CV-910-05-2014</t>
  </si>
  <si>
    <t>JOSE SILVIO LAINEZ</t>
  </si>
  <si>
    <t>R-CV-875-03-2014</t>
  </si>
  <si>
    <t>R-CV-637-03-2014</t>
  </si>
  <si>
    <t>JOSE ANTONIO ALVARENGA MELGAR</t>
  </si>
  <si>
    <t>R-CV-916-05-2014</t>
  </si>
  <si>
    <t>R-CV-634-05-2014</t>
  </si>
  <si>
    <t>SANGRADO DIGESTIVO ALTO</t>
  </si>
  <si>
    <t>JORGE JEOVANY CHINCHILLA ARITA</t>
  </si>
  <si>
    <t>R-CV-902-04-2014</t>
  </si>
  <si>
    <t>R-CV-619-04-2014</t>
  </si>
  <si>
    <t>JORGE ANTONIO AGUILAR LOPEZ</t>
  </si>
  <si>
    <t>AF-027/2014</t>
  </si>
  <si>
    <t>R-CV-1193-12-2014</t>
  </si>
  <si>
    <t>R-CV-920-12-2014</t>
  </si>
  <si>
    <t>ISMAEL CASTILLO PADILLA</t>
  </si>
  <si>
    <t>R-CV-1021-08-2014</t>
  </si>
  <si>
    <t>R-CV-748-08-2014</t>
  </si>
  <si>
    <t>HIPERTENSION ARTERIAL</t>
  </si>
  <si>
    <t>GLORIA MARLENDI SORIANO MONDRAGON</t>
  </si>
  <si>
    <t>R-CV-1130-11-2014</t>
  </si>
  <si>
    <t>R-CV-827-11-2014</t>
  </si>
  <si>
    <t>ACCCIDENTE DE TRANSITO</t>
  </si>
  <si>
    <t>GERSON EURIPIDES CARDENAS</t>
  </si>
  <si>
    <t>R-CV-936-05-2014</t>
  </si>
  <si>
    <t>R-CV-653-05-2014</t>
  </si>
  <si>
    <t>R-CV-817-02-2014</t>
  </si>
  <si>
    <t>R-CV-550-02-2014</t>
  </si>
  <si>
    <t>FRANCISCO ANTONIO HERNANDEZ</t>
  </si>
  <si>
    <t>AF-006/2014</t>
  </si>
  <si>
    <t>R-CV-857-03-2014</t>
  </si>
  <si>
    <t>R-CV-584-03-2014</t>
  </si>
  <si>
    <t>FRANCISCO ANTONIO AGUILAR NUÑEZ</t>
  </si>
  <si>
    <t>AF-031-2014</t>
  </si>
  <si>
    <t>R-CV-35-07-2014</t>
  </si>
  <si>
    <t>R-CV-1004-07-2014</t>
  </si>
  <si>
    <t>R-CV-733-07-2014</t>
  </si>
  <si>
    <t>FELIPA SUYAPA CRUZ</t>
  </si>
  <si>
    <t>R-SS-16-11-2014</t>
  </si>
  <si>
    <t>R-CV-871-11-2014</t>
  </si>
  <si>
    <t>R-SS-15-10-2014</t>
  </si>
  <si>
    <t>INCAPACIDAD TOTAL</t>
  </si>
  <si>
    <t>POLINEUROPATIA MOTORA Y SENSITIVA AXONAL Y MIELINICA</t>
  </si>
  <si>
    <t>R-CV-952-06-2014</t>
  </si>
  <si>
    <t>R-CV-907-05-2014</t>
  </si>
  <si>
    <t>R-CV-21-04-2014</t>
  </si>
  <si>
    <t>ADENOCARCINOMA GASTRICO AVANZADO</t>
  </si>
  <si>
    <t>BESSY YAMILETH MARTINEZ RODRIGUEZ</t>
  </si>
  <si>
    <t>R-CV-1127-10-2014</t>
  </si>
  <si>
    <t>R-CV-824-10-2014</t>
  </si>
  <si>
    <t>R-CV-978-06-2014</t>
  </si>
  <si>
    <t>R-CV-718-06-2014</t>
  </si>
  <si>
    <t>ANGELA ORBELINA MEDINA ZUNIGA</t>
  </si>
  <si>
    <t>R-CV-994-07-2014</t>
  </si>
  <si>
    <t>R-CV-714-07-2014</t>
  </si>
  <si>
    <t>LINFOMA DE HODGKING</t>
  </si>
  <si>
    <t>ANGEL VIDAL RUBIO SUAZO</t>
  </si>
  <si>
    <t xml:space="preserve">VIDA DEUDOR </t>
  </si>
  <si>
    <t>R-CV-139-12-2014</t>
  </si>
  <si>
    <t>R-SS-17-12-2014</t>
  </si>
  <si>
    <t>R-CV-1209-12-2014</t>
  </si>
  <si>
    <t>R-CV-931-12-2014</t>
  </si>
  <si>
    <t>INFARTO AGUDO AL MIOCARDIO</t>
  </si>
  <si>
    <t>ALDARA JANNETH BUSTILLO</t>
  </si>
  <si>
    <t>R-CV-928-05-2014</t>
  </si>
  <si>
    <t>AF-009/2014</t>
  </si>
  <si>
    <t>R-CV-639-05-2014</t>
  </si>
  <si>
    <t>TUMOR CEREBRAL</t>
  </si>
  <si>
    <t>R-CV-680-06-2014</t>
  </si>
  <si>
    <t>R-CV-913-05-2014</t>
  </si>
  <si>
    <t>CONTRATO DE REASEGURO DE EXCESOS DE PÉRDIDA OPERATIVO DE VIDA 2014</t>
  </si>
  <si>
    <t>DEL 1 DE ENERO DE 2014 AL 31 DE DICIEMBRE DE 2014</t>
  </si>
  <si>
    <t>DEL 1 DE ENERO DE 2012 AL 31 DE DICIEMBRE DE 2012</t>
  </si>
  <si>
    <t>CONTRATO DE REASEGURO DE EXCESOS DE PÉRDIDA OPERATIVO DE VIDA 2012</t>
  </si>
  <si>
    <t>A-033/2012</t>
  </si>
  <si>
    <t>AGUSTIN MARTINEZ MARTINEZ</t>
  </si>
  <si>
    <t>P-017/2012</t>
  </si>
  <si>
    <t>PRESTAMOS</t>
  </si>
  <si>
    <t>R-CV-5-12-2012</t>
  </si>
  <si>
    <t>ANGEL EDGARDO LOPEZ FIALLOS</t>
  </si>
  <si>
    <t>VS-003/2012</t>
  </si>
  <si>
    <t>SALDO DEUDA</t>
  </si>
  <si>
    <t>ANGEL ROGELIO RODRIGUEZ RODRIGUEZ</t>
  </si>
  <si>
    <t>R-CV-148-10-2012</t>
  </si>
  <si>
    <t>ANGEL VIDAL MATA PALMA</t>
  </si>
  <si>
    <t>R-CV-192-10-2012</t>
  </si>
  <si>
    <t>R-CV-255-12-2012</t>
  </si>
  <si>
    <t>ATILIO VELASQUEZ</t>
  </si>
  <si>
    <t>R-CV-205-12-2012</t>
  </si>
  <si>
    <t>R-CV-109-07-2012</t>
  </si>
  <si>
    <t>BELLA IDALIA BONILLA BENITES</t>
  </si>
  <si>
    <t>R-CV-73-07-2012</t>
  </si>
  <si>
    <t>R-CV-63-07-2012</t>
  </si>
  <si>
    <t>BERNARDO ESPAÑA CHINCHILLA</t>
  </si>
  <si>
    <t>R-CV-94-07-2012</t>
  </si>
  <si>
    <t>R-CV-214-11-2012</t>
  </si>
  <si>
    <t>BRAYAN ALEXANDER ZUNIGA SUAREZ</t>
  </si>
  <si>
    <t>R-CV-189-11-2012</t>
  </si>
  <si>
    <t>R-CV-235-11-2012</t>
  </si>
  <si>
    <t>R-CV-119-07-2012</t>
  </si>
  <si>
    <t>CANDIDO EDGARDO LOPEZ GARCIA</t>
  </si>
  <si>
    <t>TROMBOEMBOLIA MASIVA FULMINANTE</t>
  </si>
  <si>
    <t>R-CV-75-07-2012</t>
  </si>
  <si>
    <t>A-039/2012</t>
  </si>
  <si>
    <t>CARMEN SUYAPA SUAREZ</t>
  </si>
  <si>
    <t>TROMBOEMBOLISMO PULMONAR AGUDO</t>
  </si>
  <si>
    <t>P-025/2012</t>
  </si>
  <si>
    <t>A-057/2012</t>
  </si>
  <si>
    <t>CAYETANO CASTILLO CRUZ</t>
  </si>
  <si>
    <t>HEPATOCARCINOMA METASTASICO ESTUDIO IV</t>
  </si>
  <si>
    <t>P-039/2012</t>
  </si>
  <si>
    <t>R-CV-206-10-2012</t>
  </si>
  <si>
    <t>CELEO ALFREDO ZELAYA</t>
  </si>
  <si>
    <t>R-CV-159-10-2012</t>
  </si>
  <si>
    <t>R-CV-70-07-2012</t>
  </si>
  <si>
    <t>DANIEL GUARDADO POWER</t>
  </si>
  <si>
    <t>R-CV-101-07-2012</t>
  </si>
  <si>
    <t>R-CV-170-12-2012</t>
  </si>
  <si>
    <t>DELIA MEJIA NUÑEZ</t>
  </si>
  <si>
    <t>SHOCK CARDIOGENICO</t>
  </si>
  <si>
    <t>AF-028/2012</t>
  </si>
  <si>
    <t>FAMILIAR</t>
  </si>
  <si>
    <t>R-CV-57-06-2012</t>
  </si>
  <si>
    <t xml:space="preserve">DENIS ANIBAL RODRIGUEZ </t>
  </si>
  <si>
    <t>A-061/2012</t>
  </si>
  <si>
    <t>DOUGLAS RODOLFO OCON ZAMBRANO</t>
  </si>
  <si>
    <t>PARO CARDIOPULMONAR</t>
  </si>
  <si>
    <t>P-045/2012</t>
  </si>
  <si>
    <t>R-CV-153-11-2012</t>
  </si>
  <si>
    <t>EDGARDO ZAPATA SANDERS</t>
  </si>
  <si>
    <t>R-CV-245-11-2012</t>
  </si>
  <si>
    <t>R-CV-1-04-2012</t>
  </si>
  <si>
    <t>ELIO RUPERTO MARTINEZ RODRIGUEZ</t>
  </si>
  <si>
    <t>CARCINOMA GASTRICO</t>
  </si>
  <si>
    <t>R-CV-2-04-2012</t>
  </si>
  <si>
    <t>R-CV-115-07-2012</t>
  </si>
  <si>
    <t>ELVIS ADALY PEÑA PORTILLO</t>
  </si>
  <si>
    <t>R-CV-76-07-2012</t>
  </si>
  <si>
    <t>R-CV-60-07-2012</t>
  </si>
  <si>
    <t>ERICK ALEXANDER MARTINEZ AVILA</t>
  </si>
  <si>
    <t>R-CV-98-07-2012</t>
  </si>
  <si>
    <t>R-CV-59-06-2012</t>
  </si>
  <si>
    <t>GILBERTO OCTAVIO HERNANDEZ ESCOTO</t>
  </si>
  <si>
    <t>EDEMA AGUDO DE PULMON</t>
  </si>
  <si>
    <t>R-CV-79-06-2012</t>
  </si>
  <si>
    <t>A-064/2012</t>
  </si>
  <si>
    <t>GUILLERMO VALLADARES MARTINEZ</t>
  </si>
  <si>
    <t>P-047/2012</t>
  </si>
  <si>
    <t>VE-002/2012</t>
  </si>
  <si>
    <t>R-CV-285-12-2012</t>
  </si>
  <si>
    <t>GUSTAVO ADOLFO BORJAS VALLADARES</t>
  </si>
  <si>
    <t>R-CV-233-12-2012</t>
  </si>
  <si>
    <t>R-CV-06-12-2012</t>
  </si>
  <si>
    <t>A-031/2012</t>
  </si>
  <si>
    <t>HAYDEE GAMEZ SANCHEZ</t>
  </si>
  <si>
    <t>CANCER MATASTASICO DE CERVIX</t>
  </si>
  <si>
    <t>P-023/2012</t>
  </si>
  <si>
    <t>A-072/2012</t>
  </si>
  <si>
    <t>HECTOR MANUEL ALMENDAREZ MUNGUIA</t>
  </si>
  <si>
    <t>P-051/2012</t>
  </si>
  <si>
    <t>R-CV-111-07-2012</t>
  </si>
  <si>
    <t>JAIRO ZADIEL ZELAYA NAJERA</t>
  </si>
  <si>
    <t>ACCIDENTE VIAL</t>
  </si>
  <si>
    <t>R-CV-67-7-2012</t>
  </si>
  <si>
    <t>R-CV-96-7-2012</t>
  </si>
  <si>
    <t>R-CV-1-7-2012</t>
  </si>
  <si>
    <t>AF-022/2012</t>
  </si>
  <si>
    <t>CV-APO-1002-0</t>
  </si>
  <si>
    <t>JERONIMO SANCHEZ</t>
  </si>
  <si>
    <t>CV-P-1006-0</t>
  </si>
  <si>
    <t>CV-SD-1004-0</t>
  </si>
  <si>
    <t>A-029/2012</t>
  </si>
  <si>
    <t>JESUS ALFREDO ORTIZ HERRERA</t>
  </si>
  <si>
    <t>P-015/2012</t>
  </si>
  <si>
    <t>A-044/2012</t>
  </si>
  <si>
    <t>JORGE ANTONIO GARCIA</t>
  </si>
  <si>
    <t>PARO CARDIACO</t>
  </si>
  <si>
    <t>P-024/2012</t>
  </si>
  <si>
    <t>R-CV-144-11-2012</t>
  </si>
  <si>
    <t>JORGE HUMBERTO FLORES ESTRADA</t>
  </si>
  <si>
    <t>R-CV-236-11-2012</t>
  </si>
  <si>
    <t>R-CV-145-11-2012</t>
  </si>
  <si>
    <t>JOSE ANGEL ANTONIO CARBAJAL POSADAS</t>
  </si>
  <si>
    <t>CALCINADO POR RAYO</t>
  </si>
  <si>
    <t>R-CV-237-11-2012</t>
  </si>
  <si>
    <t>DEA-009/2012</t>
  </si>
  <si>
    <t>JOSE DAVID ORELLANA LOPEZ</t>
  </si>
  <si>
    <t>CARDIOPATIA ATEROESCLEROTICA</t>
  </si>
  <si>
    <t>R-CV-29-05-2012</t>
  </si>
  <si>
    <t>JOSE LEONEL SARMIENTO CORTES</t>
  </si>
  <si>
    <t>R-CV-36-05-2012</t>
  </si>
  <si>
    <t>SD-001/2012</t>
  </si>
  <si>
    <t>A-050/2012</t>
  </si>
  <si>
    <t>JOSE LIMAN CABALLERO RIVERA</t>
  </si>
  <si>
    <t>P-032/2012</t>
  </si>
  <si>
    <t>R-CV-91-08-2012</t>
  </si>
  <si>
    <t>JOSE MAURICIO GUZMAN GOMEZ</t>
  </si>
  <si>
    <t>R-CV-144-08-2012</t>
  </si>
  <si>
    <t>R-CV-198-10-2012</t>
  </si>
  <si>
    <t>JOSE ROGER GONZALES</t>
  </si>
  <si>
    <t>JOSE SANTOS MENDEZ PEREZ</t>
  </si>
  <si>
    <t>R-CV-105-07-2012</t>
  </si>
  <si>
    <t>A-058/2012</t>
  </si>
  <si>
    <t>JOSE TRINIDAD ACOSTA CRUZ</t>
  </si>
  <si>
    <t>CANCER GASTRICO CON METASTASIS HEPATICAS</t>
  </si>
  <si>
    <t>P-040/2012</t>
  </si>
  <si>
    <t>R-CV-224-12-2012</t>
  </si>
  <si>
    <t>JUAN RAMON DUBON ALAS</t>
  </si>
  <si>
    <t>R-CV-275-12-2012</t>
  </si>
  <si>
    <t>R-CV-226-11-2012</t>
  </si>
  <si>
    <t>JUAN RAMON HERCULANO CRUZ</t>
  </si>
  <si>
    <t>INFARTO DEL MIOCARDIO</t>
  </si>
  <si>
    <t>R-CV-162-09-2012</t>
  </si>
  <si>
    <t>JUDITH PADILLA LARA</t>
  </si>
  <si>
    <t>R-CV-123-09-2012</t>
  </si>
  <si>
    <t>R-CV-167-09-2012</t>
  </si>
  <si>
    <t>KELVIN OSMAN ENAMORADO MEDINA</t>
  </si>
  <si>
    <t>R-CV-155-10-2012</t>
  </si>
  <si>
    <t>R-CV-222-12-2012</t>
  </si>
  <si>
    <t>LEONEL RODOLFO ELVIR BONILLA</t>
  </si>
  <si>
    <t>CANCER DE PULMON TIPO EPIDERMOIDE</t>
  </si>
  <si>
    <t>DEA-007/2012</t>
  </si>
  <si>
    <t>LUCAS ALBERTO PEREZ RODRIGUEZ</t>
  </si>
  <si>
    <t>R-CV-186-01-2013</t>
  </si>
  <si>
    <t>LUIS ALFREDO ALFARO RODRIGUEZ</t>
  </si>
  <si>
    <t>R-CV-297-01-2013</t>
  </si>
  <si>
    <t>R-CV-62-07-2012</t>
  </si>
  <si>
    <t>LUIS ALONZO  MATAMOROS ARIAS</t>
  </si>
  <si>
    <t>SEPSIS CON FOCO PULMONAR</t>
  </si>
  <si>
    <t>R-CV-100-07-2012</t>
  </si>
  <si>
    <t>R-CV-109-08-2012</t>
  </si>
  <si>
    <t>R-CV-176-11-2012</t>
  </si>
  <si>
    <t>R-CV-155-08-2012</t>
  </si>
  <si>
    <t>LUIS GUSTAVO MEDINA MACIAS</t>
  </si>
  <si>
    <t>INSUFICIENCIA RESPIRATORIA</t>
  </si>
  <si>
    <t>R-CV-116-08-2012</t>
  </si>
  <si>
    <t>R-CV-254-12-2012</t>
  </si>
  <si>
    <t>MARCO ANTONIO OSORIO</t>
  </si>
  <si>
    <t>R-CV-204-12-2012</t>
  </si>
  <si>
    <t>R-CV-03-12-2012</t>
  </si>
  <si>
    <t>R-CV-102-09-2012</t>
  </si>
  <si>
    <t>MARCO ANTONIO TORRES RIVERA</t>
  </si>
  <si>
    <t>R-CV-178-09-2012</t>
  </si>
  <si>
    <t>R-CV-260-12-2012</t>
  </si>
  <si>
    <t>MARIA CRISTINA CARRASCO VILLALTA</t>
  </si>
  <si>
    <t>INSUFICIENCIA RENAL CRONICA</t>
  </si>
  <si>
    <t>R-CV-210-12-2012</t>
  </si>
  <si>
    <t>R-CV-167-12-2012</t>
  </si>
  <si>
    <t>MARIA CRISTINA ESCALANTE RAUDA</t>
  </si>
  <si>
    <t>COMA DIABETICO DEBUTANTE</t>
  </si>
  <si>
    <t>R-CV-264-12-2012</t>
  </si>
  <si>
    <t>R-CV-7-12-2012</t>
  </si>
  <si>
    <t>R-CV-136-08-2012</t>
  </si>
  <si>
    <t>MARIA DOMINGA ESCOBAR AYALA</t>
  </si>
  <si>
    <t>R-CV-176-01-2013</t>
  </si>
  <si>
    <t>MARIA ELIZABETH TABORA HENRIQUEZ</t>
  </si>
  <si>
    <t xml:space="preserve">CANCER  </t>
  </si>
  <si>
    <t>R-CV-286-01-2013</t>
  </si>
  <si>
    <t>CANCER</t>
  </si>
  <si>
    <t>R-CV-80-06-2012</t>
  </si>
  <si>
    <t>MARIA ROBERTA CALERO RIVAS</t>
  </si>
  <si>
    <t>R-CV-48-06-2012</t>
  </si>
  <si>
    <t>R-CV-43-06-2012</t>
  </si>
  <si>
    <t>MARTA ISABEL ZELAYA MENGIBAR</t>
  </si>
  <si>
    <t>R-CV-66-06-2012</t>
  </si>
  <si>
    <t>R-CV-193-11-2012</t>
  </si>
  <si>
    <t>MIGUEL ANGEL AMADOR CACERES</t>
  </si>
  <si>
    <t>CHOQUE HIPERVOLEMICO</t>
  </si>
  <si>
    <t>R-CV-127-10-2012</t>
  </si>
  <si>
    <t>MIGUEL ANGEL SOLORZANO DERAS</t>
  </si>
  <si>
    <t>R-CV-15-04-2012</t>
  </si>
  <si>
    <t>MIRNA CORALIA CAMACHO MUÑOZ</t>
  </si>
  <si>
    <t>R-CV-20-04-2012</t>
  </si>
  <si>
    <t>VE-003/2012</t>
  </si>
  <si>
    <t>MOISES SILVA</t>
  </si>
  <si>
    <t>R-CV-159-12-2012</t>
  </si>
  <si>
    <t>NELSON PASTRANA BETANCOURTH</t>
  </si>
  <si>
    <t>CANCER DE COLON</t>
  </si>
  <si>
    <t>R-CV-253-12-2012</t>
  </si>
  <si>
    <t>R-CV-184-01-2013</t>
  </si>
  <si>
    <t>NOEMI ANTONIA CRUZ REYES</t>
  </si>
  <si>
    <t>INFARTO DE MIOCARDIO</t>
  </si>
  <si>
    <t>R-CV-294-01-2013</t>
  </si>
  <si>
    <t>R-CV-99-09-2012</t>
  </si>
  <si>
    <t>NORA CRISTINA MEJIA</t>
  </si>
  <si>
    <t>R-CV-176-09-2012</t>
  </si>
  <si>
    <t>A-019/2012</t>
  </si>
  <si>
    <t>NORMAN MANUEL AVENDAÑO RODEZNO</t>
  </si>
  <si>
    <t xml:space="preserve">DIABETES MELLITUS TIPO </t>
  </si>
  <si>
    <t>P-014/2012</t>
  </si>
  <si>
    <t>R-CV-180-09-2012</t>
  </si>
  <si>
    <t>OLMAN IVAN MIRANDA MENDEZ</t>
  </si>
  <si>
    <t>R-CV-152-11-2012</t>
  </si>
  <si>
    <t>OSCAR RAQUEL AGUILAR GARCIA</t>
  </si>
  <si>
    <t>R-CV-242-11-2012</t>
  </si>
  <si>
    <t>R-CV-54-06-2012</t>
  </si>
  <si>
    <t>PAUL ROBERTO MARADIAGA AMADOR</t>
  </si>
  <si>
    <t>R-CV-89-06-2012</t>
  </si>
  <si>
    <t>R-CV-86-08-2012</t>
  </si>
  <si>
    <t>REINA ESTER GUZMAN MELGAR</t>
  </si>
  <si>
    <t>CANCER DE CERVIX</t>
  </si>
  <si>
    <t>R-CV-138-08-2012</t>
  </si>
  <si>
    <t>R-CV-182-01-2013</t>
  </si>
  <si>
    <t>REINA VICTORIA HENRIQUEZ FUENTES</t>
  </si>
  <si>
    <t>INSUFICICIENCIA CARDIACA</t>
  </si>
  <si>
    <t>RICARDO JALIL SALOMON</t>
  </si>
  <si>
    <t>R-CV-13-04-2012</t>
  </si>
  <si>
    <t>R-CV-138-09-2012</t>
  </si>
  <si>
    <t>RITA YOLANDA LOPEZ ERAZO</t>
  </si>
  <si>
    <t>EMBOLIA CEREBRAL</t>
  </si>
  <si>
    <t>R-CV-185-09-2012</t>
  </si>
  <si>
    <t>R-CV-48-6-2012</t>
  </si>
  <si>
    <t>ROLANDO DE JESUS CANISALES</t>
  </si>
  <si>
    <t>R-CV-65-6-2012</t>
  </si>
  <si>
    <t>P-020/2012</t>
  </si>
  <si>
    <t>ROMEO ERNESTO CARIAS ROJAS</t>
  </si>
  <si>
    <t>R-CV-247-01-2013</t>
  </si>
  <si>
    <t>SANDRA PETRONA LICONA ANDINO</t>
  </si>
  <si>
    <t>R-CV-300-01-2013</t>
  </si>
  <si>
    <t>SANTOS CRISTINA MARTINEZ</t>
  </si>
  <si>
    <t>HEMORRAGIA SUBARACNOIDEA FISHER 4</t>
  </si>
  <si>
    <t>R-CV-217-12-2012</t>
  </si>
  <si>
    <t>SONIA COREA SOSA</t>
  </si>
  <si>
    <t>EVENTO CEREBRO VASCULAR</t>
  </si>
  <si>
    <t>R-CV-266-12-2012</t>
  </si>
  <si>
    <t>R-CV-199-10-2012</t>
  </si>
  <si>
    <t>TRINIDAD DELFINA DOMINGUEZ MARTINEZ</t>
  </si>
  <si>
    <t>R-CV-153-10-2012</t>
  </si>
  <si>
    <t>R-CV-163-10-2012</t>
  </si>
  <si>
    <t>R-CV-188-11-2012</t>
  </si>
  <si>
    <t>VICTORIA CASTELLANOS INESTROZA</t>
  </si>
  <si>
    <t>HEMORRAGIA SUBARACNOIDEA</t>
  </si>
  <si>
    <t>R-CV-234-11-2012</t>
  </si>
  <si>
    <t>VIVIAN ELIBETH HERNANDEZ URREA</t>
  </si>
  <si>
    <t>CIRROSIS HEPATICA</t>
  </si>
  <si>
    <t>DEA-001/2012</t>
  </si>
  <si>
    <t>A-049/2012</t>
  </si>
  <si>
    <t>ZOILA ARGENTINA IZAGUIRRE LOPEZ</t>
  </si>
  <si>
    <t>CANCER DE MAMA</t>
  </si>
  <si>
    <t>P-027/2012</t>
  </si>
  <si>
    <t>LEMPIRAS</t>
  </si>
  <si>
    <t>DEL 1 DE ENERO DE 2011 AL 31 DE DICIEMBRE DE 2011</t>
  </si>
  <si>
    <t>CONTRATO DE REASEGURO DE EXCESOS DE PÉRDIDA OPERATIVO DE VIDA 2011</t>
  </si>
  <si>
    <t>PO000003</t>
  </si>
  <si>
    <t>Prestamo</t>
  </si>
  <si>
    <t>ADA ELIZABETH MELARA SANDOVAL</t>
  </si>
  <si>
    <t>ACCIDENTE CEREBROVASCULAR</t>
  </si>
  <si>
    <t>PO000025</t>
  </si>
  <si>
    <t>SPS-A-187-11</t>
  </si>
  <si>
    <t>Ahorro</t>
  </si>
  <si>
    <t>ALEJANDRO DUBON GARCIA</t>
  </si>
  <si>
    <t>SPS-P-116-11</t>
  </si>
  <si>
    <t>A-290/2011</t>
  </si>
  <si>
    <t>ALEX FRANCISCO CABALLERO CANTARERO</t>
  </si>
  <si>
    <t>SHOCK SEPTICO</t>
  </si>
  <si>
    <t>P-191/2011</t>
  </si>
  <si>
    <t>P-148/11</t>
  </si>
  <si>
    <t>ANA CECILIA BENAVIDES HERNANDEZ</t>
  </si>
  <si>
    <t>P-166/11</t>
  </si>
  <si>
    <t>A-263/11</t>
  </si>
  <si>
    <t>A-108/11</t>
  </si>
  <si>
    <t>ANALDO EMILIANO TORRES ACOSTA</t>
  </si>
  <si>
    <t>P-071/11</t>
  </si>
  <si>
    <t>SPS-A-174-11</t>
  </si>
  <si>
    <t>ANGELA MARIA GALEANO CALIX</t>
  </si>
  <si>
    <t>INFARTO AGUDO DE MIOCARDIO MASIVO</t>
  </si>
  <si>
    <t>SPS-P-107-11</t>
  </si>
  <si>
    <t>SPS-A-205-11</t>
  </si>
  <si>
    <t>ARNOL JESUS PAZ ORELLANA</t>
  </si>
  <si>
    <t>SPS-P-121-11</t>
  </si>
  <si>
    <t>SPS-A-85-11</t>
  </si>
  <si>
    <t>ARNULFO SABILLON</t>
  </si>
  <si>
    <t>SPS-P-57-11</t>
  </si>
  <si>
    <t>SPS-AE-22-11</t>
  </si>
  <si>
    <t>Amparo Fúnebre</t>
  </si>
  <si>
    <t>P-047/11</t>
  </si>
  <si>
    <t>BERTILIA DE JESUS URBINA</t>
  </si>
  <si>
    <t>SPS-P-72-11</t>
  </si>
  <si>
    <t>CARLOS CIRILO ROSALES ESCOBAR</t>
  </si>
  <si>
    <t>P-129/11</t>
  </si>
  <si>
    <t>CARLOS JAVIER HERNANDEZ ENAMORADO</t>
  </si>
  <si>
    <t>SPS-A-183-11</t>
  </si>
  <si>
    <t>CARLOS VIRGILIO ROSALES CASTRO</t>
  </si>
  <si>
    <t>MUERTE NATURAL</t>
  </si>
  <si>
    <t>SPS-P-113-11</t>
  </si>
  <si>
    <t>P-139/11</t>
  </si>
  <si>
    <t>CILIA MARINET CACERES PADILLA</t>
  </si>
  <si>
    <t>MELANOMA METASTASICO</t>
  </si>
  <si>
    <t>P-091/11</t>
  </si>
  <si>
    <t>DEISY MARTIZA MARTINEZ FLORES</t>
  </si>
  <si>
    <t>HEMORRAGIA POST PARTO</t>
  </si>
  <si>
    <t>P-161/11</t>
  </si>
  <si>
    <t>DELMIS SILVERIA SOSA</t>
  </si>
  <si>
    <t>P-200/2011</t>
  </si>
  <si>
    <t>EDGAR JOEL ALVARADO ZAMBRANO</t>
  </si>
  <si>
    <t>VS-014/11</t>
  </si>
  <si>
    <t>Saldo Deuda</t>
  </si>
  <si>
    <t>EDITH ERNELDA AVILA GUTIERREZ</t>
  </si>
  <si>
    <t>CARDIOPATIA HIPERTENSIVA</t>
  </si>
  <si>
    <t>A-099/11</t>
  </si>
  <si>
    <t>ELIAS ORTIZ GUTIERREZ</t>
  </si>
  <si>
    <t>P-066/11</t>
  </si>
  <si>
    <t>SPS-P-69-11</t>
  </si>
  <si>
    <t>FATIMA CLARIBEL CRUZ AYALA</t>
  </si>
  <si>
    <t>ACCIDENTAL</t>
  </si>
  <si>
    <t>SPS-A-112-11</t>
  </si>
  <si>
    <t>A-104/11</t>
  </si>
  <si>
    <t>FAUSTO AGRIPINO GARCIA MURILLO</t>
  </si>
  <si>
    <t>P-061/11</t>
  </si>
  <si>
    <t>P-070/11</t>
  </si>
  <si>
    <t>A-313/2011</t>
  </si>
  <si>
    <t>FELIX VASQUEZ MORENO</t>
  </si>
  <si>
    <t>P-204/2011</t>
  </si>
  <si>
    <t>A-162/11</t>
  </si>
  <si>
    <t>GLADIS MAURICIA OSORTO PORTILLO</t>
  </si>
  <si>
    <t>A-101/11</t>
  </si>
  <si>
    <t>GLORIA GUADALUPE ARRIAZA MENDOZA</t>
  </si>
  <si>
    <t>P-059/11</t>
  </si>
  <si>
    <t>P-068/11</t>
  </si>
  <si>
    <t>A-135/11</t>
  </si>
  <si>
    <t>SPS-A-223-11</t>
  </si>
  <si>
    <t>GORGE NUÑEZ BARNICA</t>
  </si>
  <si>
    <t>SPS-AE-62-11</t>
  </si>
  <si>
    <t>P-143/11</t>
  </si>
  <si>
    <t>GREDIS EVELIO FIALLOS AGUILAR</t>
  </si>
  <si>
    <t>A-228/11</t>
  </si>
  <si>
    <t>P-169/11</t>
  </si>
  <si>
    <t>HERNAN DANILO HERNANDEZ OCHOA</t>
  </si>
  <si>
    <t>INFARTO CARDIACO MASIVO</t>
  </si>
  <si>
    <t>SPS-A-138-11</t>
  </si>
  <si>
    <t>HERNAN GARCIA PORTILLO</t>
  </si>
  <si>
    <t>SPS-P-87-11</t>
  </si>
  <si>
    <t>SP000876</t>
  </si>
  <si>
    <t>HERNAN GOMEZ  ORELLANA</t>
  </si>
  <si>
    <t>SPS-A-134-11</t>
  </si>
  <si>
    <t>SPS-P-84-11</t>
  </si>
  <si>
    <t>SPS-VS-02-12</t>
  </si>
  <si>
    <t>P-176/11</t>
  </si>
  <si>
    <t>JAIME IVAN DONAIRE MARADIAGA</t>
  </si>
  <si>
    <t>A-277/11</t>
  </si>
  <si>
    <t>P-111/11</t>
  </si>
  <si>
    <t>JESSIL LIZBETH EUCEDA QUIROZ</t>
  </si>
  <si>
    <t>P-145/11</t>
  </si>
  <si>
    <t>A-232/11</t>
  </si>
  <si>
    <t>SPS-A-70-11</t>
  </si>
  <si>
    <t>JESUS GARCIA CASTELLANOS</t>
  </si>
  <si>
    <t>SPS-P-46-11</t>
  </si>
  <si>
    <t>SA000007</t>
  </si>
  <si>
    <t>JOAQUIN FERNANDEZ MOISES</t>
  </si>
  <si>
    <t>ACCIDENTE AEREO</t>
  </si>
  <si>
    <t>SP000003</t>
  </si>
  <si>
    <t>A-093/11</t>
  </si>
  <si>
    <t>JONAS GARCIA HERNANDEZ</t>
  </si>
  <si>
    <t>P-056/11</t>
  </si>
  <si>
    <t>P-109/11</t>
  </si>
  <si>
    <t>JORGE ARTURO VARGAS LINARES</t>
  </si>
  <si>
    <t>A-167/11</t>
  </si>
  <si>
    <t>A-321/2011</t>
  </si>
  <si>
    <t>JORGE DANIEL MELENDEZ MONTECINOS</t>
  </si>
  <si>
    <t>P-208/2011</t>
  </si>
  <si>
    <t>SPS-A-118-11</t>
  </si>
  <si>
    <t>JOSE MARIA ALVARADO</t>
  </si>
  <si>
    <t>NEUMONIA BILATERAL</t>
  </si>
  <si>
    <t>SPS-P-76-11</t>
  </si>
  <si>
    <t>VE-004/11</t>
  </si>
  <si>
    <t>Directivos y Empleados</t>
  </si>
  <si>
    <t>JOSE VIVIAN MATUTE FLORES</t>
  </si>
  <si>
    <t>DERRAME PLEURAL BILATERAL</t>
  </si>
  <si>
    <t>P-192/2011</t>
  </si>
  <si>
    <t>JULIO ANTONIO RIVERA MOLTALVAN</t>
  </si>
  <si>
    <t>P-032/11</t>
  </si>
  <si>
    <t>JULIO CESAR ORELLANA CANTORAL</t>
  </si>
  <si>
    <t>EDEMA CEREBRAL</t>
  </si>
  <si>
    <t>A-063/11</t>
  </si>
  <si>
    <t>VE-002/11</t>
  </si>
  <si>
    <t>VD-002/11</t>
  </si>
  <si>
    <t>Vida Deudor</t>
  </si>
  <si>
    <t>JULIO CESAR RODRIGUEZ</t>
  </si>
  <si>
    <t>PARO CARDIORESPIRATORIO</t>
  </si>
  <si>
    <t>A-207/11</t>
  </si>
  <si>
    <t>A-089/11</t>
  </si>
  <si>
    <t>JULIO CESAR VALDES PAZ</t>
  </si>
  <si>
    <t>P-054/11</t>
  </si>
  <si>
    <t>SPS-A-130-11</t>
  </si>
  <si>
    <t>JUSTO PASTOR RAMOS</t>
  </si>
  <si>
    <t>SPS-P-82-11</t>
  </si>
  <si>
    <t>SPS-VS-01-11</t>
  </si>
  <si>
    <t>SPS-A-106-11</t>
  </si>
  <si>
    <t>LESLY YESSENIA COBOS RODRIGUEZ</t>
  </si>
  <si>
    <t>SPS-P-68-11</t>
  </si>
  <si>
    <t>P-104/11</t>
  </si>
  <si>
    <t>LIGIA MARIA QUESADA ALMENDAREZ</t>
  </si>
  <si>
    <t>HIPOTIROIDISMO/VIH / SIDA</t>
  </si>
  <si>
    <t>A-165/11</t>
  </si>
  <si>
    <t>A-320/2011</t>
  </si>
  <si>
    <t>P-207/2011</t>
  </si>
  <si>
    <t>SPS-A-64-11</t>
  </si>
  <si>
    <t>LILIANA MEJIA LOPEZ</t>
  </si>
  <si>
    <t>SPS-P-41-11</t>
  </si>
  <si>
    <t>P-135/11</t>
  </si>
  <si>
    <t>MANUEL ANTONIO VEROY SANTAMARIA</t>
  </si>
  <si>
    <t>CHOQUE HIPOVOLEMICO</t>
  </si>
  <si>
    <t>P-077/11</t>
  </si>
  <si>
    <t>MARCIA YADIRA ESCOBAR</t>
  </si>
  <si>
    <t>P-142/11</t>
  </si>
  <si>
    <t>MARCO TULIO BULNES</t>
  </si>
  <si>
    <t>CANCER DE HIGADO</t>
  </si>
  <si>
    <t>A-227/11</t>
  </si>
  <si>
    <t>P-149/11</t>
  </si>
  <si>
    <t>MARIA DEL ROSARIO NUÑEZ</t>
  </si>
  <si>
    <t>A-235/11</t>
  </si>
  <si>
    <t>A-088/11</t>
  </si>
  <si>
    <t>MEDARDO GARCIA BACA</t>
  </si>
  <si>
    <t>PARO CARDIO PULMONAR</t>
  </si>
  <si>
    <t>P-053/11</t>
  </si>
  <si>
    <t>P-019/11</t>
  </si>
  <si>
    <t>MIRYAN ESPERANZA GARCIA SANCHEZ</t>
  </si>
  <si>
    <t>ENCEFALOPATIA</t>
  </si>
  <si>
    <t>A-043/11</t>
  </si>
  <si>
    <t>P-108/11</t>
  </si>
  <si>
    <t>NERY ALEXIS CASTILLO MENENDEZ</t>
  </si>
  <si>
    <t>A-185/11</t>
  </si>
  <si>
    <t>SPS-P-12/11</t>
  </si>
  <si>
    <t>OLVIN OMAR MENDEZ PERDOMO</t>
  </si>
  <si>
    <t>SPS-A-17/11</t>
  </si>
  <si>
    <t>SPS-A-133-11</t>
  </si>
  <si>
    <t>PEDRO JOSE LINDO  MONTERREY</t>
  </si>
  <si>
    <t>SPS-A-137-11</t>
  </si>
  <si>
    <t>SPS-P-86-11</t>
  </si>
  <si>
    <t>SPS-AE-38-11</t>
  </si>
  <si>
    <t>P-105/11</t>
  </si>
  <si>
    <t>PORFIRIO ANTONIO MENDEZ LAZO</t>
  </si>
  <si>
    <t>A-166/11</t>
  </si>
  <si>
    <t>SPS-A-117-11</t>
  </si>
  <si>
    <t>RAMON ORLANDO ZELAYA</t>
  </si>
  <si>
    <t>CONTUSION TEMPORAL Y HEMATOMA CEREBRAL</t>
  </si>
  <si>
    <t>SPS-P-75-11</t>
  </si>
  <si>
    <t>VD-004/2011</t>
  </si>
  <si>
    <t>RAUL ALBERTO MEDINA</t>
  </si>
  <si>
    <t>ACCIDENTE CEREBRO VASCULAR</t>
  </si>
  <si>
    <t>P-181/11</t>
  </si>
  <si>
    <t>RENE ORLANDO LOPEZ LICONA</t>
  </si>
  <si>
    <t>VE-007/11</t>
  </si>
  <si>
    <t>P-024/11</t>
  </si>
  <si>
    <t>RONAL OSMAN GARCIA RODAS</t>
  </si>
  <si>
    <t>A-052/11</t>
  </si>
  <si>
    <t>P-043/11</t>
  </si>
  <si>
    <t>A-075/11</t>
  </si>
  <si>
    <t>VD-001/11</t>
  </si>
  <si>
    <t>ROSARIO MARGARITA CACERES</t>
  </si>
  <si>
    <t>CARCINOMA UTERINO</t>
  </si>
  <si>
    <t>A-136/11</t>
  </si>
  <si>
    <t>P-073/11</t>
  </si>
  <si>
    <t>SANTOS ADRIAN AGUILERA OSORTO</t>
  </si>
  <si>
    <t>A-113/11</t>
  </si>
  <si>
    <t>A-314/2011</t>
  </si>
  <si>
    <t>SANTOS AVILA ORTIS</t>
  </si>
  <si>
    <t>P-205/2011</t>
  </si>
  <si>
    <t>P-170/11</t>
  </si>
  <si>
    <t>SANTOS EDELVINA GOMEZ RUBIO</t>
  </si>
  <si>
    <t>A-271/11</t>
  </si>
  <si>
    <t>P-131/11</t>
  </si>
  <si>
    <t>SANTOS ISAIAS VARELA</t>
  </si>
  <si>
    <t>A-206./11</t>
  </si>
  <si>
    <t>SPS-A-161-11</t>
  </si>
  <si>
    <t>SANTOS MALDONADO EVANS</t>
  </si>
  <si>
    <t>SPS-P-102-11</t>
  </si>
  <si>
    <t>P-051/11</t>
  </si>
  <si>
    <t>SANTOS TEODORA CANALES AMADOR</t>
  </si>
  <si>
    <t>ENCEFALOPATIA HEPATICA</t>
  </si>
  <si>
    <t>A-086/11</t>
  </si>
  <si>
    <t>P-154/11</t>
  </si>
  <si>
    <t>SAUL ANTONIO CASTILLO PORTILLO</t>
  </si>
  <si>
    <t>A-243/11</t>
  </si>
  <si>
    <t>SPS-A-77-11</t>
  </si>
  <si>
    <t>TITO PEREZ</t>
  </si>
  <si>
    <t>SPS-P-50-11</t>
  </si>
  <si>
    <t>P-067/11</t>
  </si>
  <si>
    <t>TONY ROJAS MONTOYA OLIVA</t>
  </si>
  <si>
    <t>SPS-A-97-11</t>
  </si>
  <si>
    <t>VICTOR HUGO RAMIREZ AGUILAR</t>
  </si>
  <si>
    <t>SPS-P-64-11</t>
  </si>
  <si>
    <t>P-190/11</t>
  </si>
  <si>
    <t>YIMI ORLANDO MARTINEZ ORELLANA</t>
  </si>
  <si>
    <t>Lugar y fecha: 25 de Enero, 2012</t>
  </si>
  <si>
    <t>EQUIDAD COMPAÑÍA DE SEGUROS, S.A.</t>
  </si>
  <si>
    <t>TASA DE CAMBIO:</t>
  </si>
  <si>
    <t>DEL 1 DE ENERO DE 2010 AL 31 DE DICIEMBRE DE 2010</t>
  </si>
  <si>
    <t>CONTRATO DE REASEGURO DE EXCESOS DE PÉRDIDA OPERATIVO DE VIDA 2010</t>
  </si>
  <si>
    <t>P-144/10</t>
  </si>
  <si>
    <t>PRÉSTAMOS</t>
  </si>
  <si>
    <t>AIDA KAROLINA BETANCOURTH</t>
  </si>
  <si>
    <t>A-290/10</t>
  </si>
  <si>
    <t>AHORROS</t>
  </si>
  <si>
    <t>SPS-P-62-10</t>
  </si>
  <si>
    <t>ALFREDO LOZANO AYALA</t>
  </si>
  <si>
    <t>SPS-A-105-10</t>
  </si>
  <si>
    <t>SPS-P-117-10</t>
  </si>
  <si>
    <t>ANTONIO RAMOS</t>
  </si>
  <si>
    <t>SPS-A-195-10</t>
  </si>
  <si>
    <t>SPS-A-176-10</t>
  </si>
  <si>
    <t>BLANCA ROSA GARCIA</t>
  </si>
  <si>
    <t>SPS-P-108-10</t>
  </si>
  <si>
    <t>CANCER CERVICAL</t>
  </si>
  <si>
    <t>SPS-P-38/10</t>
  </si>
  <si>
    <t>CARLOS HUMBERTO RODRIGUEZ</t>
  </si>
  <si>
    <t>SPS-A-61/10</t>
  </si>
  <si>
    <t>P-037/10</t>
  </si>
  <si>
    <t>CRISTOBAL CENTENO CERRATO</t>
  </si>
  <si>
    <t>A-078/10</t>
  </si>
  <si>
    <t>P-029/10</t>
  </si>
  <si>
    <t>DONATILA MARADIAGA RUBIO</t>
  </si>
  <si>
    <t>ADENOCARCINOMA DE ENDOMETRIO</t>
  </si>
  <si>
    <t>A-059/10</t>
  </si>
  <si>
    <t>SPS-AE-37-10</t>
  </si>
  <si>
    <t>EDY ALBERTO VASQUEZ MARTINEZ</t>
  </si>
  <si>
    <t>SPS-A-202-10</t>
  </si>
  <si>
    <t>SPS-P-121-10</t>
  </si>
  <si>
    <t>P-038/10</t>
  </si>
  <si>
    <t>ELIANA WALESKA AGUILAR</t>
  </si>
  <si>
    <t>SIDA</t>
  </si>
  <si>
    <t>A-079/10</t>
  </si>
  <si>
    <t>SPS-P-78-10</t>
  </si>
  <si>
    <t>ELTON B. WOODS PRICE</t>
  </si>
  <si>
    <t>SPS-A-127-10</t>
  </si>
  <si>
    <t>SPS-VS-07-10</t>
  </si>
  <si>
    <t>SPS-P-28-10</t>
  </si>
  <si>
    <t>ENRRY RAMON SALINAS SARMIENTO</t>
  </si>
  <si>
    <t>SPS-A-49-10</t>
  </si>
  <si>
    <t>SPS-VS-01-10</t>
  </si>
  <si>
    <t>SPS-DEA-03-10</t>
  </si>
  <si>
    <t>SPS-P-96-10</t>
  </si>
  <si>
    <t>ESBIN ROLANDO SANDOVAL</t>
  </si>
  <si>
    <t>SPS-A-151-10</t>
  </si>
  <si>
    <t>SPS-P-31-10</t>
  </si>
  <si>
    <t>FERMIN ESCOBAR CALDERON</t>
  </si>
  <si>
    <t>SPS-A-52-10</t>
  </si>
  <si>
    <t>SPS-VS-02-10</t>
  </si>
  <si>
    <t>SPS-AE-03-10</t>
  </si>
  <si>
    <t>SPS-P-41-10</t>
  </si>
  <si>
    <t>FRANCISCA ISABEL BENITEZ</t>
  </si>
  <si>
    <t>SPS-A-65-10</t>
  </si>
  <si>
    <t>SPS-P-45-10</t>
  </si>
  <si>
    <t>FRANCISCO DOLMO SANCHEZ</t>
  </si>
  <si>
    <t>DIABETES MIELLITUS</t>
  </si>
  <si>
    <t>SPS-A-72-10</t>
  </si>
  <si>
    <t>SPS-VS-03-10</t>
  </si>
  <si>
    <t>A-280/10</t>
  </si>
  <si>
    <t>FRANCISCO NOE PEREZ CRUZ</t>
  </si>
  <si>
    <t>ASFIXIA POR SUMERSION</t>
  </si>
  <si>
    <t>P-028/10</t>
  </si>
  <si>
    <t>GUILLERMO OWEN IZAGUIRRE</t>
  </si>
  <si>
    <t>A-058/10</t>
  </si>
  <si>
    <t>P-032/10</t>
  </si>
  <si>
    <t>A-064/10</t>
  </si>
  <si>
    <t>VS-002/10</t>
  </si>
  <si>
    <t>P-075/10</t>
  </si>
  <si>
    <t>HECTOR PEREZ ALVARADO</t>
  </si>
  <si>
    <t>AHOGAMIENTO</t>
  </si>
  <si>
    <t>A-134/10</t>
  </si>
  <si>
    <t>SPS-A-146-10</t>
  </si>
  <si>
    <t>ITZA YAMILETH VALLECILLO CASTELLON</t>
  </si>
  <si>
    <t>SPS-P-94-10</t>
  </si>
  <si>
    <t>SPS-A-175-10</t>
  </si>
  <si>
    <t>IVAN ERNESTO MEJIA PINEDA</t>
  </si>
  <si>
    <t>DIABETES</t>
  </si>
  <si>
    <t>SPS-DEA-07-10</t>
  </si>
  <si>
    <t>P-053/10</t>
  </si>
  <si>
    <t>JESUS ESTELA MARTINEZ</t>
  </si>
  <si>
    <t>ANEMIA</t>
  </si>
  <si>
    <t>A-093/10</t>
  </si>
  <si>
    <t>A-097/10</t>
  </si>
  <si>
    <t>SPS-VD-07-10</t>
  </si>
  <si>
    <t>JOSE ARMANDO PONCE VIDAL MURILLO</t>
  </si>
  <si>
    <t>A-086/10</t>
  </si>
  <si>
    <t>JOSE ARNALDO RUBI GUERRERO</t>
  </si>
  <si>
    <t>A-259/10</t>
  </si>
  <si>
    <t>JOSE DE LA PAZ CRUZ REYES</t>
  </si>
  <si>
    <t>P-130/10</t>
  </si>
  <si>
    <t>P-070/10</t>
  </si>
  <si>
    <t>JOSE EDUARDO PANTING</t>
  </si>
  <si>
    <t>A-123/10</t>
  </si>
  <si>
    <t>P-117/10</t>
  </si>
  <si>
    <t>JOSE HUNG PACHECO</t>
  </si>
  <si>
    <t>A-231/10</t>
  </si>
  <si>
    <t>SPS-AE-34-10</t>
  </si>
  <si>
    <t>AMPARO FUNEBRE</t>
  </si>
  <si>
    <t>JOSE IRAEL HERNANDEZ MURILLO</t>
  </si>
  <si>
    <t>APLASTAMIENTO POR PARED/ACCIDENTE</t>
  </si>
  <si>
    <t>SPS-A-196-10</t>
  </si>
  <si>
    <t>SPS-P-118-10</t>
  </si>
  <si>
    <t>VS-006/10</t>
  </si>
  <si>
    <t>JOSE MANUEL PAZ SANTOS</t>
  </si>
  <si>
    <t>P-063/10</t>
  </si>
  <si>
    <t>JOSE WILMER CALIX</t>
  </si>
  <si>
    <t>A-110/10</t>
  </si>
  <si>
    <t>P-048/10</t>
  </si>
  <si>
    <t>LESLY TRINIDAD PALACIOS</t>
  </si>
  <si>
    <t>A-090/10</t>
  </si>
  <si>
    <t>A-117/10</t>
  </si>
  <si>
    <t>SPS-VD-22-10</t>
  </si>
  <si>
    <t>LILIAN ELIZABETH COTO CHINCHILLA</t>
  </si>
  <si>
    <t>SPS-P-50-10</t>
  </si>
  <si>
    <t>LIPTON ZELAYA ASENCIO</t>
  </si>
  <si>
    <t>SPS-A-90-10</t>
  </si>
  <si>
    <t>A-053/10</t>
  </si>
  <si>
    <t>MANUEL ANTONIO DE PAZ BENITEZ</t>
  </si>
  <si>
    <t>P-025/10</t>
  </si>
  <si>
    <t>SPS-P-79-10</t>
  </si>
  <si>
    <t>MANUEL DE JESUS MIRALDA CACERES</t>
  </si>
  <si>
    <t>SPS-A-128-10</t>
  </si>
  <si>
    <t>SPS-VS-08-10</t>
  </si>
  <si>
    <t>SPS-AE-14-10</t>
  </si>
  <si>
    <t>P-055/10</t>
  </si>
  <si>
    <t>MARIA HILDA RAMIREZ SAUCEDA</t>
  </si>
  <si>
    <t>A-095/10</t>
  </si>
  <si>
    <t>P-152/10</t>
  </si>
  <si>
    <t>MARITZA CONCEPCION CARCAMO GALEAS</t>
  </si>
  <si>
    <t>MIOCARDIOPATIA DILATADA</t>
  </si>
  <si>
    <t>A-303/10</t>
  </si>
  <si>
    <t>P-153/10</t>
  </si>
  <si>
    <t>A-304/10</t>
  </si>
  <si>
    <t>VD-004/10</t>
  </si>
  <si>
    <t>MIGUEL ANGEL LOPEZ RODRIGUEZ</t>
  </si>
  <si>
    <t>A-195/10</t>
  </si>
  <si>
    <t>SPS-A-199-10</t>
  </si>
  <si>
    <t>NERY MELGAR MEJIA</t>
  </si>
  <si>
    <t>SPS-P-119-10</t>
  </si>
  <si>
    <t>SPS-P-57/10</t>
  </si>
  <si>
    <t>OCTACIANO BANEGAS</t>
  </si>
  <si>
    <t>SPS-A-99/10</t>
  </si>
  <si>
    <t>SPS-VS-05/10</t>
  </si>
  <si>
    <t>SPS-A-208-10</t>
  </si>
  <si>
    <t>OSCAR ARMANDO ORTIZ PERALTA</t>
  </si>
  <si>
    <t>SPS-P-123-10</t>
  </si>
  <si>
    <t>SPS-AE-39-10</t>
  </si>
  <si>
    <t>SPS-P-83-10</t>
  </si>
  <si>
    <t>PLACIDO SERRANO BARRERA</t>
  </si>
  <si>
    <t>SPS-A-136-10</t>
  </si>
  <si>
    <t>SPS-VS-10-10</t>
  </si>
  <si>
    <t>SPS-AE-18-10</t>
  </si>
  <si>
    <t>P-149/10</t>
  </si>
  <si>
    <t>REYNA ISABEL PORTALES RODRIGUEZ</t>
  </si>
  <si>
    <t>TROMBOEMBOLIA PULMONAR</t>
  </si>
  <si>
    <t>A-300/10</t>
  </si>
  <si>
    <t>P-106/10</t>
  </si>
  <si>
    <t>ROMMEL ELIAS AMADOR MASS</t>
  </si>
  <si>
    <t>A-206/10</t>
  </si>
  <si>
    <t>P-115/10</t>
  </si>
  <si>
    <t>ROSA JULIA MEDINA PADILLA</t>
  </si>
  <si>
    <t>CANCER CERVICO UTERINO</t>
  </si>
  <si>
    <t>A-228/10</t>
  </si>
  <si>
    <t>P-098/10</t>
  </si>
  <si>
    <t>ROSARIO MOLINA MARTINEZ</t>
  </si>
  <si>
    <t>A-177/10</t>
  </si>
  <si>
    <t>SPS-P-25-10</t>
  </si>
  <si>
    <t>ROSEBET MORAN MORALES</t>
  </si>
  <si>
    <t>ACCIDENTE CEREBROVASCULAR SECUNDARIO A HIPERTENSION ARTERIAL</t>
  </si>
  <si>
    <t>SPS-A-45-10</t>
  </si>
  <si>
    <t>SPS-P-65/10</t>
  </si>
  <si>
    <t>RUBEN ARTURO ALVARADO</t>
  </si>
  <si>
    <t>CARDIOPATIA VALVULAR</t>
  </si>
  <si>
    <t>SPS-A-111/10</t>
  </si>
  <si>
    <t>SPS-P-63-10</t>
  </si>
  <si>
    <t>TULIO ALBERTO BATRES PINEDA</t>
  </si>
  <si>
    <t>TRAUMA ENCEFALOCRANEANO</t>
  </si>
  <si>
    <t>SPS-A-108-10</t>
  </si>
  <si>
    <t>P-069/10</t>
  </si>
  <si>
    <t>VICTOR MANUEL TERCERO FLORES</t>
  </si>
  <si>
    <t>A-114/10</t>
  </si>
  <si>
    <t>A-266/10</t>
  </si>
  <si>
    <t>VIRGINIA SANABRIA</t>
  </si>
  <si>
    <t>P-134/10</t>
  </si>
  <si>
    <t>A-252/10</t>
  </si>
  <si>
    <t>YORNELI LEYANITH FORTIN GRANADOS</t>
  </si>
  <si>
    <t>ANEMIA DREPANOCITICA</t>
  </si>
  <si>
    <t>P-086/10</t>
  </si>
  <si>
    <t>A-160/10</t>
  </si>
  <si>
    <t>P-099/10</t>
  </si>
  <si>
    <t>A-178/10</t>
  </si>
  <si>
    <t>Año Base</t>
  </si>
  <si>
    <t>5% de Inflación Amual</t>
  </si>
  <si>
    <t>Año</t>
  </si>
  <si>
    <t>Siniestros &gt; prioridad</t>
  </si>
  <si>
    <t>Siniestros a valor presente</t>
  </si>
  <si>
    <t>Prima Neta Retenida</t>
  </si>
  <si>
    <t>Burning Cost</t>
  </si>
  <si>
    <t>Gastos Administración 100/80</t>
  </si>
  <si>
    <t>Factor de Ajuste por Inflación</t>
  </si>
  <si>
    <t>Cuota Media</t>
  </si>
  <si>
    <t>Etiquetas de fila</t>
  </si>
  <si>
    <t>Total al 2011</t>
  </si>
  <si>
    <t>Total al 2012</t>
  </si>
  <si>
    <t>BANCASEGURO FAMILAR</t>
  </si>
  <si>
    <t>Total general</t>
  </si>
  <si>
    <t>Cuadro No.1</t>
  </si>
  <si>
    <t>Índice de Precios al Consumidor</t>
  </si>
  <si>
    <t>Diciembre 1999 = 100</t>
  </si>
  <si>
    <t>Meses</t>
  </si>
  <si>
    <t>Variación Porcentual</t>
  </si>
  <si>
    <t>Interanual</t>
  </si>
  <si>
    <t>2011/10</t>
  </si>
  <si>
    <t>2012/11</t>
  </si>
  <si>
    <t>2013/12</t>
  </si>
  <si>
    <t>2014/13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</si>
  <si>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</si>
  <si>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</si>
  <si>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</si>
  <si>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</si>
  <si>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</si>
  <si>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</si>
  <si>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</si>
  <si>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</si>
  <si>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</si>
  <si>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</si>
  <si>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</si>
  <si>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</si>
  <si>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INDEX</t>
  </si>
  <si>
    <t>PRIORIDAD</t>
  </si>
  <si>
    <t>A cargo del Contrato</t>
  </si>
  <si>
    <t>SIMULACIÓN</t>
  </si>
  <si>
    <t>%</t>
  </si>
  <si>
    <t>P-009/2012</t>
  </si>
  <si>
    <t>A-014/2012</t>
  </si>
  <si>
    <t>P-217/2011</t>
  </si>
  <si>
    <t>A-335/2011</t>
  </si>
  <si>
    <t>P-008/2012</t>
  </si>
  <si>
    <t>A-010/2012</t>
  </si>
  <si>
    <t>P-199/2011</t>
  </si>
  <si>
    <t>P-218/2011</t>
  </si>
  <si>
    <t>A-336/2011</t>
  </si>
  <si>
    <t>P-001/2012</t>
  </si>
  <si>
    <t>A-001/2012</t>
  </si>
  <si>
    <t>P-005/2012</t>
  </si>
  <si>
    <t>A-237/2011</t>
  </si>
  <si>
    <t>P-135/2011</t>
  </si>
  <si>
    <t>P-159/11</t>
  </si>
  <si>
    <t>A-100/2011</t>
  </si>
  <si>
    <t>A-024/2012</t>
  </si>
  <si>
    <t>P-010/2012</t>
  </si>
  <si>
    <t>A-013/2012</t>
  </si>
  <si>
    <t>AF-010/2012</t>
  </si>
  <si>
    <t>DEA-010/2011</t>
  </si>
  <si>
    <t>A-236/2011</t>
  </si>
  <si>
    <t>P-134/2011</t>
  </si>
  <si>
    <t>AF-065/2011</t>
  </si>
  <si>
    <t>F-004/2011</t>
  </si>
  <si>
    <t>A-234/2011</t>
  </si>
  <si>
    <t>P-132/2011</t>
  </si>
  <si>
    <t>DEA-009/2011</t>
  </si>
  <si>
    <t>A-047/2012</t>
  </si>
  <si>
    <t>P-035/2012</t>
  </si>
  <si>
    <t>P-004/2012</t>
  </si>
  <si>
    <t>P-022/2012</t>
  </si>
  <si>
    <t>SPS-A-215-11</t>
  </si>
  <si>
    <t>SPS-P-123-11</t>
  </si>
  <si>
    <t>SPS-AE-60-11</t>
  </si>
  <si>
    <t>R-CV-10-04-2012</t>
  </si>
  <si>
    <t>P-057/2012</t>
  </si>
  <si>
    <t>A-002/2012</t>
  </si>
  <si>
    <t>P-002/2012</t>
  </si>
  <si>
    <t>A-208/2011</t>
  </si>
  <si>
    <t>P-122/2011</t>
  </si>
  <si>
    <t>AF-059/2011</t>
  </si>
  <si>
    <t>F-003/2011</t>
  </si>
  <si>
    <t>R-CV-51-05-2012</t>
  </si>
  <si>
    <t>A-068/2012</t>
  </si>
  <si>
    <t>A-091-2012</t>
  </si>
  <si>
    <t>P-064/2012</t>
  </si>
  <si>
    <t>A-095/2012</t>
  </si>
  <si>
    <t>P-065-2012</t>
  </si>
  <si>
    <t>R-CV-61-6-2012</t>
  </si>
  <si>
    <t>SD-002/2012</t>
  </si>
  <si>
    <t>R-CV-145-08-2012</t>
  </si>
  <si>
    <t>A-018/2012</t>
  </si>
  <si>
    <t>P-021/2012</t>
  </si>
  <si>
    <t>R-CV-107-09-2012</t>
  </si>
  <si>
    <t>R-CV-181-09-2012</t>
  </si>
  <si>
    <t>R-CV-46-6-2012</t>
  </si>
  <si>
    <t>R-CV-70-6-2012</t>
  </si>
  <si>
    <t>SD-003/2012</t>
  </si>
  <si>
    <t>Familiar</t>
  </si>
  <si>
    <t>FRANCISCO ROLANDO ORDOÑEZ PALMA</t>
  </si>
  <si>
    <t>JUAN FERNANDO HENRIQUEZ RAMIREZ</t>
  </si>
  <si>
    <t>MARVIN ARMANDO MARTINEZ ANDRADE</t>
  </si>
  <si>
    <t>MAURO FRANCISCO GONZALEZ</t>
  </si>
  <si>
    <t>NOHEL ANTONIO CARCAMO CAÑAS</t>
  </si>
  <si>
    <t>JOSE HILDABERTO GARCIA</t>
  </si>
  <si>
    <t>OSCAR ROLANDO ESPINOZA RIVERA</t>
  </si>
  <si>
    <t>WILMER GEOVANY RODRIGUEZ</t>
  </si>
  <si>
    <t>HERNAN GOMEZ ORELLANA</t>
  </si>
  <si>
    <t>JORGE ALBERTO VELASQUEZ CRUZ</t>
  </si>
  <si>
    <t>JUSTO JAVIER MARADIAGA ESCOBAR</t>
  </si>
  <si>
    <t>ANA HERMINIA CISNEROS DIAZ</t>
  </si>
  <si>
    <t>GELVIN ANTONIO ZUNIGA</t>
  </si>
  <si>
    <t>ROLANDO OBDULIO MUNGUIA</t>
  </si>
  <si>
    <t>LUINA ADELAIDA DIAZ SORIANO</t>
  </si>
  <si>
    <t>PAULA REYNALDA ZELAYA FUNEZ</t>
  </si>
  <si>
    <t>ELIAS GUERRA</t>
  </si>
  <si>
    <t>JOSE OVIDIO GUEVARA PINTO</t>
  </si>
  <si>
    <t>CANDIDA CANALES CANALES</t>
  </si>
  <si>
    <t>BICTOR MANUEL CUESTAS JERONIMO</t>
  </si>
  <si>
    <t>CLIPTON WILLIAN MARTINEZ CHINCHILLA</t>
  </si>
  <si>
    <t>FERNANDO MOYA CASTILLO</t>
  </si>
  <si>
    <t>DEBORA INES PRIETO RODRIGUEZ</t>
  </si>
  <si>
    <t>CARLOS ALBERTO RODRIGUEZ BANEGAS</t>
  </si>
  <si>
    <t>GLORIA SUYAPA CALONA</t>
  </si>
  <si>
    <t>YENI YADIRA CRUZ VASQUEZ</t>
  </si>
  <si>
    <t>FAUSTO ERNESTO LOBO ZAPATA</t>
  </si>
  <si>
    <t>JOSE PEÑA MALDONADO</t>
  </si>
  <si>
    <t>PAULA REYNELDA ZELAYA FUNEZ</t>
  </si>
  <si>
    <t>INSUFICIENCIA HEPATICA</t>
  </si>
  <si>
    <t>CARCINOMA DE HIGADO</t>
  </si>
  <si>
    <t>TUMOR DE VIAS BILIARES</t>
  </si>
  <si>
    <t>PANCREATITIS AGUDA</t>
  </si>
  <si>
    <t>CANCER DE COLON CON MATASTASISPULMONAR</t>
  </si>
  <si>
    <t xml:space="preserve">INSUFICIENCIA HEPATICA </t>
  </si>
  <si>
    <t>DIABETES MILLETUS</t>
  </si>
  <si>
    <t>FALLA HEPATICA FULMINANTE</t>
  </si>
  <si>
    <t>METASTASIS HEPATICA</t>
  </si>
  <si>
    <t>CV-A-1017-0</t>
  </si>
  <si>
    <t>CV-P-1024-1</t>
  </si>
  <si>
    <t>LUZ MARINA PAZ VILLALOBOS</t>
  </si>
  <si>
    <t>R-CV-44-6-2012</t>
  </si>
  <si>
    <t>P-019/2012</t>
  </si>
  <si>
    <t>FULGENCIO PINTO ALFARO</t>
  </si>
  <si>
    <t>R-CV-23-05-2012</t>
  </si>
  <si>
    <t>R-CV-76-06-2012</t>
  </si>
  <si>
    <t>DEA-006/2012</t>
  </si>
  <si>
    <t>R-CV-01-01-2016 MANUAL</t>
  </si>
  <si>
    <t>OSCAR ELIAS LOPEZ MUÑOZ</t>
  </si>
  <si>
    <t>MUERTE SUBITA</t>
  </si>
  <si>
    <t>R-CV-195-01-2013</t>
  </si>
  <si>
    <t>AF-002/2013</t>
  </si>
  <si>
    <t>MARIA VIDAL GAVARRETE RIVERA</t>
  </si>
  <si>
    <t>R-CV-193-01-2013</t>
  </si>
  <si>
    <t>R-CV-305-01-2013</t>
  </si>
  <si>
    <t>AF-004/2013</t>
  </si>
  <si>
    <t>MIGUEL ANGEL MADRID PINEDA</t>
  </si>
  <si>
    <t>R-CV-261-02-2013</t>
  </si>
  <si>
    <t>R-CV-351-02-2013</t>
  </si>
  <si>
    <t>R-CV-268-02-2013</t>
  </si>
  <si>
    <t>R-CV-330-02-2013</t>
  </si>
  <si>
    <t>R-CV-318-02-2013</t>
  </si>
  <si>
    <t>R-CV-256-02-2013</t>
  </si>
  <si>
    <t>R-CV-315-02-2013</t>
  </si>
  <si>
    <t>R-CV-314-02-2013</t>
  </si>
  <si>
    <t>VE-001/2013</t>
  </si>
  <si>
    <t>R-CV-273-02-2013</t>
  </si>
  <si>
    <t>R-CV-335-02-2013</t>
  </si>
  <si>
    <t>R-CV-262-02-2013</t>
  </si>
  <si>
    <t>R-CV-320-02-2013</t>
  </si>
  <si>
    <t>ALBERT C. BENDECK NIMER</t>
  </si>
  <si>
    <t>DIONICIA ZUNIGA HERNANDEZ</t>
  </si>
  <si>
    <t>FRATERNO SANDOVAL  MEZA</t>
  </si>
  <si>
    <t>HECTOR AGUINALDO ORELLANA</t>
  </si>
  <si>
    <t>JUAN JESUS RIOS</t>
  </si>
  <si>
    <t>REINA TERESA ORTEZ ESCOBAR</t>
  </si>
  <si>
    <t>SUYAPA GUILLERMINA AVILA LAGOS</t>
  </si>
  <si>
    <t>CARDIOPATIA SEVERA</t>
  </si>
  <si>
    <t>HIPERTENSION ARTERIAL.</t>
  </si>
  <si>
    <t>INFARTO RECIENTE DEL MIOCARDIO</t>
  </si>
  <si>
    <t>CANCER DE OVARIO IZQUIERDO</t>
  </si>
  <si>
    <t>R-CV-200-10-2012</t>
  </si>
  <si>
    <t>R-CV-200-02-2013</t>
  </si>
  <si>
    <t>AF-003/2013</t>
  </si>
  <si>
    <t>R-CV-212-02-2013</t>
  </si>
  <si>
    <t>R-CV-326-02-2013</t>
  </si>
  <si>
    <t>R-CV-204-02-2013</t>
  </si>
  <si>
    <t>R-CV-312-02-2013</t>
  </si>
  <si>
    <t>R-CV-01-02-2013</t>
  </si>
  <si>
    <t>R-CV-203-02-2013</t>
  </si>
  <si>
    <t>R-CV-311-02-2013</t>
  </si>
  <si>
    <t>R-CV-215-02-2013</t>
  </si>
  <si>
    <t>AF-007/2013</t>
  </si>
  <si>
    <t>ARMANDO REYES GUEVARA</t>
  </si>
  <si>
    <t>HERMINIO VASQUES BERTRAND</t>
  </si>
  <si>
    <t>LEONIDES LOPEZ</t>
  </si>
  <si>
    <t>LILIAM SUYAPA PAGOADA CARBAJAL</t>
  </si>
  <si>
    <t>NORA SUYAPA MORALES RIVAS</t>
  </si>
  <si>
    <t>RAFAEL AGUILAR RAMIREZ</t>
  </si>
  <si>
    <t>INFARTO DE MIORCARDIO</t>
  </si>
  <si>
    <t>DENGUE CLASICO</t>
  </si>
  <si>
    <t>SHOCK HIPOVOLEMICO</t>
  </si>
  <si>
    <t>R-CV-209-2-2013</t>
  </si>
  <si>
    <t>R-CV-322-02-2013</t>
  </si>
  <si>
    <t>AF-005/2013</t>
  </si>
  <si>
    <t>R-CV-220-02-2013</t>
  </si>
  <si>
    <t>R-CV-343-02-2013</t>
  </si>
  <si>
    <t>MARTO ADONIS MARTINEZ PERDOMO</t>
  </si>
  <si>
    <t>RAMON ARTURO TEJEDA CALIZ</t>
  </si>
  <si>
    <t>DIABETES MILLITUS TIPO II</t>
  </si>
  <si>
    <t>R-CV-324-02-2013</t>
  </si>
  <si>
    <t>R-CV-241-01-2013</t>
  </si>
  <si>
    <t>R-CV-367-03-2013</t>
  </si>
  <si>
    <t>R-CV-325-02-2013</t>
  </si>
  <si>
    <t>RAMON ARTURO TEJEDA CALIX</t>
  </si>
  <si>
    <t>SHOCK CARDIGENICO</t>
  </si>
  <si>
    <t>CARCINOMA DE CELUAS RENALES DEL LADO IZQUIERDO</t>
  </si>
  <si>
    <t>R-CV-308-04-2013</t>
  </si>
  <si>
    <t>R-CV-389-04-2013</t>
  </si>
  <si>
    <t>TRINIDAD GONZALO SABILLON F.</t>
  </si>
  <si>
    <t>R-CV-344-02-2013</t>
  </si>
  <si>
    <t>R-CV-280-02-2013</t>
  </si>
  <si>
    <t xml:space="preserve">ANA ROSA AGUILAR </t>
  </si>
  <si>
    <t>MIELOMA MULTIPLE AVANZADO</t>
  </si>
  <si>
    <t>R-CV-357-05-2013</t>
  </si>
  <si>
    <t>R-CV-432-05-2013</t>
  </si>
  <si>
    <t>DIGNA ISABEL ZUNIGA CASTRO</t>
  </si>
  <si>
    <t>SEPSIS CON FALLA MULTIORGANICA</t>
  </si>
  <si>
    <t>R-CV-337-05-2013</t>
  </si>
  <si>
    <t>R-CV-415-05-2013</t>
  </si>
  <si>
    <t>R-CV-348-05-2013</t>
  </si>
  <si>
    <t>R-CV-422-05-2013</t>
  </si>
  <si>
    <t>R-CV-370-05-2013</t>
  </si>
  <si>
    <t>R-CV-457-05-2013</t>
  </si>
  <si>
    <t>LUIS ALONSO TABORA</t>
  </si>
  <si>
    <t>MARCOS LEONEL TURCIOS VILLEDA</t>
  </si>
  <si>
    <t>REINA ALFONSINA NARVAEZ PUERTO</t>
  </si>
  <si>
    <t>CV-APO-1006-15</t>
  </si>
  <si>
    <t>CV-P-1027-15</t>
  </si>
  <si>
    <t>AM000003-804</t>
  </si>
  <si>
    <t>CARLOS JAVIER FIALLOS LAZO</t>
  </si>
  <si>
    <t>R-CV-390-06-2013</t>
  </si>
  <si>
    <t>R-CV-472-06-2013</t>
  </si>
  <si>
    <t>FRANCISCO GERONIMO CASTRO RODAS</t>
  </si>
  <si>
    <t>R-CV-368-05-2013</t>
  </si>
  <si>
    <t>JOSE ROGER GONZALEZ</t>
  </si>
  <si>
    <t>R-CV-296-06-2013</t>
  </si>
  <si>
    <t>R-CV-475-06-2013</t>
  </si>
  <si>
    <t>JORGE ALBERTO COSE ALVARADO</t>
  </si>
  <si>
    <t>INSUFICIENCA RENAL</t>
  </si>
  <si>
    <t>R-CV-288-06-2013</t>
  </si>
  <si>
    <t>R-CV-459-06-2013</t>
  </si>
  <si>
    <t>R-CV-19-06-2013</t>
  </si>
  <si>
    <t>CV-P-1052-20</t>
  </si>
  <si>
    <t>R-CV-456-09-2013</t>
  </si>
  <si>
    <t>R-CV-608-09-2013</t>
  </si>
  <si>
    <t>R-CV-22-09-2013</t>
  </si>
  <si>
    <t>JOSE OCTAVIO FLORES CALIX</t>
  </si>
  <si>
    <t>PRESUNCION DE MUERTE</t>
  </si>
  <si>
    <t>R-CV-651-10-2013</t>
  </si>
  <si>
    <t>NORMA DOLORES AGUILAR GALVEZ</t>
  </si>
  <si>
    <t>R-CV-448-11-2013</t>
  </si>
  <si>
    <t>R-CV-678-11-2013</t>
  </si>
  <si>
    <t>MARIA ESTER CHACON MANCIA</t>
  </si>
  <si>
    <t>R-CV-430-10-2013</t>
  </si>
  <si>
    <t>R-CV-638-05-2014</t>
  </si>
  <si>
    <t>R-CV-929-05-2014</t>
  </si>
  <si>
    <t>MARTINA DEL CARMEN COELLO MARTINEZ</t>
  </si>
  <si>
    <t>ASFIXIA BRONCOASPIRACION</t>
  </si>
  <si>
    <t>R-CV-737-07-2014</t>
  </si>
  <si>
    <t>EFREN GUEVARA</t>
  </si>
  <si>
    <t>R-CV-788-01-2014</t>
  </si>
  <si>
    <t>LUIS ALONSO ZELAYA DAVILA</t>
  </si>
  <si>
    <t>R-CV-819-02-2014</t>
  </si>
  <si>
    <t>ANA JESSEL OLIVERA CACERES</t>
  </si>
  <si>
    <t>DENGUE HEMORRAGICO</t>
  </si>
  <si>
    <t>R-CV-574-01-2014</t>
  </si>
  <si>
    <t>R-CV-780-01-2014</t>
  </si>
  <si>
    <t>R-CV-584-01-2014</t>
  </si>
  <si>
    <t>R-CV-793-01-2014</t>
  </si>
  <si>
    <t>ADALJITZA VELASQUEZ</t>
  </si>
  <si>
    <t>MARTA ESPERANZA GARCIA RODRIGUEZ</t>
  </si>
  <si>
    <t>SEPSIS ABDOMINAL</t>
  </si>
  <si>
    <t>MELANOMA MALIGNO METASTASICO</t>
  </si>
  <si>
    <t>R-CV-815-02-2014</t>
  </si>
  <si>
    <t>ALIS WILMER MARTINEZ MERCADO</t>
  </si>
  <si>
    <t>INFARTO AL MIOCARDIO</t>
  </si>
  <si>
    <t>R-CV-847-03-2014</t>
  </si>
  <si>
    <t>R-CV-628-03-2014</t>
  </si>
  <si>
    <t>R-CV-849-03-2014</t>
  </si>
  <si>
    <t>VE-002-2014</t>
  </si>
  <si>
    <t>JOSE ARMANDO ANDINO</t>
  </si>
  <si>
    <t>CARDIOOATIA ISQUEMICA</t>
  </si>
  <si>
    <t>R-CV-536-01-2014</t>
  </si>
  <si>
    <t>R-CV-792-01-2014</t>
  </si>
  <si>
    <t>MARIA ILZA RODRIGUEZ ORDOÑEZ</t>
  </si>
  <si>
    <t>CANCER GASTRICO EN ETAPA TERMINAL</t>
  </si>
  <si>
    <t>R-BS-06-01-2014</t>
  </si>
  <si>
    <t>R-CV-636-03-2014</t>
  </si>
  <si>
    <t>R-CV-872-03-2014</t>
  </si>
  <si>
    <t>FELICIANO TURCIOS RAMIREZ</t>
  </si>
  <si>
    <t>JAVIER ADOLFO SEGURA MARTINEZ</t>
  </si>
  <si>
    <t>R-CV-863-03-2014</t>
  </si>
  <si>
    <t>R-CV-29-01-2014</t>
  </si>
  <si>
    <t>SANTOS PAULO AMADOR FLORES</t>
  </si>
  <si>
    <t>R-CV-666-05-2014</t>
  </si>
  <si>
    <t>R-CV-917-05-2014</t>
  </si>
  <si>
    <t>MARIA GABRIELA HERRERA GOMEZ</t>
  </si>
  <si>
    <t>CANCER DE OVARIO</t>
  </si>
  <si>
    <t>R-CV-701-06-2014</t>
  </si>
  <si>
    <t>R-CV-720-06-2014</t>
  </si>
  <si>
    <t>R-CV-981-06-2014</t>
  </si>
  <si>
    <t>ELSA CORINA SALGADO</t>
  </si>
  <si>
    <t>CARDIPATIA ISQUEMICA</t>
  </si>
  <si>
    <t>R-CV-976-06-2014</t>
  </si>
  <si>
    <t>SANTOS LARA ZELAYA</t>
  </si>
  <si>
    <t>R-CV-990-07-2014</t>
  </si>
  <si>
    <t>DEA-001-07-2014</t>
  </si>
  <si>
    <t>R-CV-28-07-2014</t>
  </si>
  <si>
    <t>JOSE ANTONIO BENITEZ MALDONADO</t>
  </si>
  <si>
    <t>HEMIPLEGIA DERECHA</t>
  </si>
  <si>
    <t>INCAPACIDAD TOTAL Y PERMANENTE</t>
  </si>
  <si>
    <t>R-CV-833-11-2014</t>
  </si>
  <si>
    <t>R-CV-1145-11-2014</t>
  </si>
  <si>
    <t>R-CV-828-112014</t>
  </si>
  <si>
    <t>R-CV-1137-11-2014</t>
  </si>
  <si>
    <t>LOURDES JOSELINA BARAHONA ZUNIGA</t>
  </si>
  <si>
    <t>TEODORO CRUZ PERDOMO</t>
  </si>
  <si>
    <t>R-CV-546-02-2014</t>
  </si>
  <si>
    <t>R-CV-1823-03-2016</t>
  </si>
  <si>
    <t>JORGE ANTONIO RAPALO</t>
  </si>
  <si>
    <t>R-CV-947-12-2014</t>
  </si>
  <si>
    <t>R-CV-1220-12-2014</t>
  </si>
  <si>
    <t>ANGEL FLORES AMADOR</t>
  </si>
  <si>
    <t>INSUFICIENCIA RENAL AGUDA</t>
  </si>
  <si>
    <t>R-CV-1205-12-2014</t>
  </si>
  <si>
    <t>R-CV-929-12-2014</t>
  </si>
  <si>
    <t>RENE FRANCISCO MARTINEZ DETARY</t>
  </si>
  <si>
    <t>R-CV-1011-01-2015</t>
  </si>
  <si>
    <t>R-CV-1019-01-2015</t>
  </si>
  <si>
    <t>R-CV-1266-01-2015</t>
  </si>
  <si>
    <t>R-CV-1260-01-2015</t>
  </si>
  <si>
    <t>LEYLA SUYAPA MENDOZA CHAVEZ</t>
  </si>
  <si>
    <t>RONY FRANCISCO CRUZ FLORES</t>
  </si>
  <si>
    <t>TROMBOCITOPENIA SEVERA</t>
  </si>
  <si>
    <t>INSUFICENCIA RENAL CRONICA</t>
  </si>
  <si>
    <t>R-CV-1060-02-2015</t>
  </si>
  <si>
    <t>R-CV-1294-02-2015</t>
  </si>
  <si>
    <t>R-SS-11-02-2015</t>
  </si>
  <si>
    <t>ROSA MARIA PADILLA LARA</t>
  </si>
  <si>
    <t>LINFOMA GASTRICO</t>
  </si>
  <si>
    <t>R-CV-1213-12-2014</t>
  </si>
  <si>
    <t>R-CV-917-03-2015</t>
  </si>
  <si>
    <t>R-CV-1336-03-2015</t>
  </si>
  <si>
    <t>ROSA ARGENTINA VALDES MALDONADO</t>
  </si>
  <si>
    <t>R-CV-1494-07-2015</t>
  </si>
  <si>
    <t>R-CV-971-07-2015</t>
  </si>
  <si>
    <t>NEUMOPATIA INTERSTICIAL FIBROSANTE</t>
  </si>
  <si>
    <t>VIRGILIO GUEVARA GONZALEZ</t>
  </si>
  <si>
    <t>R-CV-1456-06-2015</t>
  </si>
  <si>
    <t>R-CV-1289-06-2015</t>
  </si>
  <si>
    <t>DIABETES MELLITUS CON COMPLICACIONES NEUROLOGICAS</t>
  </si>
  <si>
    <t>SONIA DEL CARMEN TAVARONE</t>
  </si>
  <si>
    <t>R-CV-1622-11-2015</t>
  </si>
  <si>
    <t>R-CV-1617-11-2015</t>
  </si>
  <si>
    <t>SEBASTIANA AMAYA</t>
  </si>
  <si>
    <t>R-CV-1402-05-2015</t>
  </si>
  <si>
    <t>R-SS-28-05-2015</t>
  </si>
  <si>
    <t>R-CV-935-05-2015</t>
  </si>
  <si>
    <t>SARA MARIA CANELAS SARMIENTO</t>
  </si>
  <si>
    <t>R-CV-1594-10-2015</t>
  </si>
  <si>
    <t>R-CV-1501-10-2015</t>
  </si>
  <si>
    <t>LEUCEMIA LINFIBLASTICA AGUDA</t>
  </si>
  <si>
    <t>ROLANDO CALDERON CASTRO</t>
  </si>
  <si>
    <t>VE-001/2015</t>
  </si>
  <si>
    <t>GASTOS FUNEBRES</t>
  </si>
  <si>
    <t>LEUCEMIA LINFOBLASTICA AGUDA</t>
  </si>
  <si>
    <t>R-BS-21-04-2015</t>
  </si>
  <si>
    <t>POMPILIO COTO TORRES</t>
  </si>
  <si>
    <t>R-CV-1508-07-2015</t>
  </si>
  <si>
    <t>R-CV-1361-07-2015</t>
  </si>
  <si>
    <t>PLASTON APENDICICULAR</t>
  </si>
  <si>
    <t>OLINDA ALEJANDRINA ERAZO TABORA</t>
  </si>
  <si>
    <t>R-CV-145-06-2015</t>
  </si>
  <si>
    <t>HEPATOCARCINOMA METASTASICO</t>
  </si>
  <si>
    <t>MIGUEL ANGEL PADILLA</t>
  </si>
  <si>
    <t>R-CV-22-10-2015</t>
  </si>
  <si>
    <t>R-CV-1591-10-2015</t>
  </si>
  <si>
    <t>R-CV-1482-10-2015</t>
  </si>
  <si>
    <t>MARIA ROMELIA VELASQUEZ</t>
  </si>
  <si>
    <t>R-CV-1588-09-2015</t>
  </si>
  <si>
    <t>R-CV-1479-09-2015</t>
  </si>
  <si>
    <t>R-CV-1305-06-2015</t>
  </si>
  <si>
    <t>R-CV-1470-06-2015</t>
  </si>
  <si>
    <t>MARIA DE JESUS GOMEZ MEDINA</t>
  </si>
  <si>
    <t>R-CV-1502-07-2015</t>
  </si>
  <si>
    <t>SANGRADO CEREBRAL AGUDO</t>
  </si>
  <si>
    <t>MANUEL DE JESUS PALENCIA GUARDADO</t>
  </si>
  <si>
    <t>R-CV-44-07-2015</t>
  </si>
  <si>
    <t>R-CV-43-07-2015</t>
  </si>
  <si>
    <t>R-CV-1491-07-2015</t>
  </si>
  <si>
    <t>R-CV-08-07-2015</t>
  </si>
  <si>
    <t>R-CV-1334-07-2015</t>
  </si>
  <si>
    <t>ENFERMEDAD RENAL CRONICA</t>
  </si>
  <si>
    <t>MAIRA ONDINA AGUILAR CHAVARRIA</t>
  </si>
  <si>
    <t>R-CV-1666-12-2015</t>
  </si>
  <si>
    <t>R-CV-1591-12-2015</t>
  </si>
  <si>
    <t>R-CV-1633-11-2015</t>
  </si>
  <si>
    <t>R-CV-1023-11-2015</t>
  </si>
  <si>
    <t>JOSE MARIO MARTINEZ SANCHEZ</t>
  </si>
  <si>
    <t>R-CV-1012-11-2015</t>
  </si>
  <si>
    <t>R-CV-1609-11-2015</t>
  </si>
  <si>
    <t>ATROPELLAMIENTO</t>
  </si>
  <si>
    <t>JOSE ISAIAS  ARAGON</t>
  </si>
  <si>
    <t>R-CV-1607-10-2015</t>
  </si>
  <si>
    <t>R-CV-1527-10-2015</t>
  </si>
  <si>
    <t>R-CV-41-10-2015</t>
  </si>
  <si>
    <t>JIMMY FERNANDO GOMEZ AGUILAR</t>
  </si>
  <si>
    <t>R-CV-1473-06-2015</t>
  </si>
  <si>
    <t>HENRY ARMANDO MARTINEZ</t>
  </si>
  <si>
    <t>R-CV-40-08-2015</t>
  </si>
  <si>
    <t>R-CV-1535-08-2015</t>
  </si>
  <si>
    <t>HARDEL MAURICIO ORTIZ</t>
  </si>
  <si>
    <t>R-CV-1287-02-2015</t>
  </si>
  <si>
    <t>R-CV-1053-02-2015</t>
  </si>
  <si>
    <t>GERARDO PASTOR RAMOS ORTEGA</t>
  </si>
  <si>
    <t>R-CV-1627-11-2015</t>
  </si>
  <si>
    <t>R-CV-1548-11-2015</t>
  </si>
  <si>
    <t>ELZA ARGENTINA DUARTE PEÑA</t>
  </si>
  <si>
    <t>R-CV-1661-11-2015</t>
  </si>
  <si>
    <t>R-CV-1590-11-2015</t>
  </si>
  <si>
    <t>EVENTO CEREBROVASCULAR</t>
  </si>
  <si>
    <t>EDY VICTORINA DEL CID ARRIAGA</t>
  </si>
  <si>
    <t>R-CV-03-04-2015</t>
  </si>
  <si>
    <t>R-CV-1367-04-2015</t>
  </si>
  <si>
    <t>R-CV-930-04-2015</t>
  </si>
  <si>
    <t>INFARTO SEVERO DE MIOCARDIO</t>
  </si>
  <si>
    <t>DIANA LEXABETH CERRATO SIERRA</t>
  </si>
  <si>
    <t>R-CV-39-12-2015</t>
  </si>
  <si>
    <t>R-CV-1664-12-2015</t>
  </si>
  <si>
    <t>R-CV-1035-12-2015</t>
  </si>
  <si>
    <t>CESAR ORLANDO PORTILLO ALBERTO</t>
  </si>
  <si>
    <t>R-CV-46-12-2015</t>
  </si>
  <si>
    <t>R-SS-19-05-2015 (MANUAL SPS)</t>
  </si>
  <si>
    <t>R-CV-1399-05-2015</t>
  </si>
  <si>
    <t>R-CV-1230-05-2015</t>
  </si>
  <si>
    <t>CARLOS YOVANNI MERINO NUÑEZ</t>
  </si>
  <si>
    <t>R-CV-1488-07-2015</t>
  </si>
  <si>
    <t>R-CV-1338-07-2015</t>
  </si>
  <si>
    <t>ANA GLADYS ARITA ROSA</t>
  </si>
  <si>
    <t>R-SS-30-06-2015</t>
  </si>
  <si>
    <t>R-CV-1451-06-2015</t>
  </si>
  <si>
    <t>R-CV-1282-06-2015</t>
  </si>
  <si>
    <t>ALFREDO MATEO PINEDA</t>
  </si>
  <si>
    <t>R-CV-172-08-2015</t>
  </si>
  <si>
    <t>R-CV-1329-07-2015</t>
  </si>
  <si>
    <t>R-CV-170-07-2015</t>
  </si>
  <si>
    <t>R-CV-168-06-2015</t>
  </si>
  <si>
    <t>R-CV-1379-05-2015</t>
  </si>
  <si>
    <t>R-CV-1190-05-2015</t>
  </si>
  <si>
    <t>ALEXY GEOMAR ORDOÑEZ BETANCOUTH</t>
  </si>
  <si>
    <t>R-CV-142-05-2015</t>
  </si>
  <si>
    <t>ADA MARIA LOBO GUARDADO</t>
  </si>
  <si>
    <t>R-CV-1648-11-2015</t>
  </si>
  <si>
    <t>R-CV-1579-11-2015</t>
  </si>
  <si>
    <t>CONTRATO DE REASEGURO DE EXCESOS DE PÉRDIDA OPERATIVO DE VIDA 2015</t>
  </si>
  <si>
    <t>DEL 1 DE ENERO DE 2015 AL 31 DE DICIEMBRE DE 2015</t>
  </si>
  <si>
    <t>YANETH MARLENY OSORIO CANALES</t>
  </si>
  <si>
    <t>R-CV-151-03-2016</t>
  </si>
  <si>
    <t>SANTIAGO MEJIA DIAZ</t>
  </si>
  <si>
    <t>R-CV-1867-04-2016</t>
  </si>
  <si>
    <t>R-CV-1882-04-2016</t>
  </si>
  <si>
    <t>R-CV-208-02-2016</t>
  </si>
  <si>
    <t>R-CV-1760-02-2016</t>
  </si>
  <si>
    <t>R-CV-152-03-2016</t>
  </si>
  <si>
    <t>ALEX ANTONIO REYES</t>
  </si>
  <si>
    <t>R-CV-1771-01-2016</t>
  </si>
  <si>
    <t>ROBERTO REYES SOLER</t>
  </si>
  <si>
    <t>R-CV-1739-01-2016</t>
  </si>
  <si>
    <t>R-CV-1681-01-2016</t>
  </si>
  <si>
    <t>MARLON OSMANY FLORES MURILLO</t>
  </si>
  <si>
    <t>R-CV-1736-01-2016</t>
  </si>
  <si>
    <t>R-CV-1678-01-2016</t>
  </si>
  <si>
    <t>JOSE OBDULIO SABILLON FERNANDEZ</t>
  </si>
  <si>
    <t>R-CV-47-12-2015</t>
  </si>
  <si>
    <t>R-CV-1697-12-2015</t>
  </si>
  <si>
    <t>R-CV-1041-12-2015</t>
  </si>
  <si>
    <t>ANEURISMA DE LA ARTERIA CEREBRAL MEDIA</t>
  </si>
  <si>
    <t>IRENE GUTIERREZ ACOSTA</t>
  </si>
  <si>
    <t>R-CV-1720-01-2016</t>
  </si>
  <si>
    <t>R-CV-1768-01-2016</t>
  </si>
  <si>
    <t>CORINA EMERITA CRUZ AVILA</t>
  </si>
  <si>
    <t>R-CV-1728-12-2015</t>
  </si>
  <si>
    <t>R-CV-1668-12-2015</t>
  </si>
  <si>
    <t>BORIS JOSUE HENDERSON CASTELLANOS</t>
  </si>
  <si>
    <t>R-CV-1750-02-2016</t>
  </si>
  <si>
    <t>R-CV-1772-01-2016</t>
  </si>
  <si>
    <t>R-CV-1723-01-2015</t>
  </si>
  <si>
    <t>R-CV-49-01-2016</t>
  </si>
  <si>
    <t>R-CV-1769-01-2016</t>
  </si>
  <si>
    <t>R-CV-1070-01-2016</t>
  </si>
  <si>
    <t>TOTAL</t>
  </si>
  <si>
    <t>MARCO TULIO VEGA COTO</t>
  </si>
  <si>
    <t>R-CV-61-10-2016</t>
  </si>
  <si>
    <t>MARCIO DAGOBERTO ZUNIGA SANTOS</t>
  </si>
  <si>
    <t>R-CV-62-10-2016</t>
  </si>
  <si>
    <t>SAUL EDMUNDO SIERRA</t>
  </si>
  <si>
    <t>R-CV-1937-06-2016</t>
  </si>
  <si>
    <t>R-CV-1984-06-2016</t>
  </si>
  <si>
    <t>REINA CRISTINA MUÑOZ VILLELA</t>
  </si>
  <si>
    <t>R-CV-2090-09-2016</t>
  </si>
  <si>
    <t>R-CV-2207-09-2016</t>
  </si>
  <si>
    <t>CANCER DE MAMA ESTADIO TERMINAL</t>
  </si>
  <si>
    <t>NANCY GEORGINA NAJAR NUÑEZ</t>
  </si>
  <si>
    <t>R-CV-1843-04-2016</t>
  </si>
  <si>
    <t>R-CV-1986-07-2016</t>
  </si>
  <si>
    <t>R-CV-2055-07-2016</t>
  </si>
  <si>
    <t>MIGUEL ANGEL JUAREZ GALLEGOS</t>
  </si>
  <si>
    <t>R-CV-1151-07-2016</t>
  </si>
  <si>
    <t>MELBIN OMAR MEJIA CRUZ</t>
  </si>
  <si>
    <t>R-CV-1978-07-2016</t>
  </si>
  <si>
    <t>R-CV-1143-07-2016</t>
  </si>
  <si>
    <t>MAXIMILIANO RECINOS CHICAS</t>
  </si>
  <si>
    <t>R-CV-136-07-2016</t>
  </si>
  <si>
    <t>R-CV-2093-07-2016</t>
  </si>
  <si>
    <t>R-CV-2013-06-2016</t>
  </si>
  <si>
    <t>R-CV-247-06-2016</t>
  </si>
  <si>
    <t>R-CV-2022-07-2016</t>
  </si>
  <si>
    <t>MARIA GUMERCINDA SIERRA AGUILAR</t>
  </si>
  <si>
    <t>R-CV-1875-04-2016</t>
  </si>
  <si>
    <t>TUMOR SUPRARENAL</t>
  </si>
  <si>
    <t>MARIA DELMIRA OSORIO ORTIZ</t>
  </si>
  <si>
    <t>R-CV-59-06-2016</t>
  </si>
  <si>
    <t>R-CV-54-06-2016</t>
  </si>
  <si>
    <t>R-CV-1945-06-2016</t>
  </si>
  <si>
    <t>R-CV-2001-06-2016</t>
  </si>
  <si>
    <t>ISQUEMIA CEREBRAL EXTENSA</t>
  </si>
  <si>
    <t>MARIA DEL CARMEN COTO GONZALEZ</t>
  </si>
  <si>
    <t>R-CV-1943-06-2016</t>
  </si>
  <si>
    <t>R-CV-1996-06-2016</t>
  </si>
  <si>
    <t>FALLA MULTIORGANICA</t>
  </si>
  <si>
    <t>LESBIA SUYAPA MARTINEZ GUITY</t>
  </si>
  <si>
    <t>R-CV-53-05-2016</t>
  </si>
  <si>
    <t>R-CV-110-05-2016</t>
  </si>
  <si>
    <t>R-CV-1915-05-2016</t>
  </si>
  <si>
    <t>R-CV-1953-05-2016</t>
  </si>
  <si>
    <t>VHI-SIDA</t>
  </si>
  <si>
    <t>R-CV-1984-07-2016</t>
  </si>
  <si>
    <t>R-CV-2053-07-2016</t>
  </si>
  <si>
    <t>JUAN FRANCISCO BETANCO AGUILAR</t>
  </si>
  <si>
    <t>R-CV-2101-09-2016</t>
  </si>
  <si>
    <t>R-CV-2227-09-2016</t>
  </si>
  <si>
    <t>HECTOR MANUEL LOPEZ</t>
  </si>
  <si>
    <t>R-CV-144-08-2016</t>
  </si>
  <si>
    <t>R-CV-2040-08-2016</t>
  </si>
  <si>
    <t>R-CV-2129-08-2016</t>
  </si>
  <si>
    <t>R-CV-2123-08-2016</t>
  </si>
  <si>
    <t>R-CV-258-07-2016</t>
  </si>
  <si>
    <t>GUSTAVO MARADIAGA VARELA</t>
  </si>
  <si>
    <t>R-CV-2047-08-2016</t>
  </si>
  <si>
    <t>R-CV-2141-08-2016</t>
  </si>
  <si>
    <t>GLORIA AMPARO PINEDA BAUTISTA</t>
  </si>
  <si>
    <t>R-CV-2012-07-2016</t>
  </si>
  <si>
    <t>R-CV-2074-07-2016</t>
  </si>
  <si>
    <t>LUPUS</t>
  </si>
  <si>
    <t>TELMA DOMINGUEZ</t>
  </si>
  <si>
    <t>R-CV-1881-05-2016</t>
  </si>
  <si>
    <t>R-CV-1115-05-2016</t>
  </si>
  <si>
    <t>CANCER DE ESOFAGO</t>
  </si>
  <si>
    <t>RONALD RILEY AGUILAR BAQUEDANO</t>
  </si>
  <si>
    <t>R-CV-58-05-2016</t>
  </si>
  <si>
    <t>R-CV-57-05-2016</t>
  </si>
  <si>
    <t>R-CV-56-05-2016</t>
  </si>
  <si>
    <t>R-CV-1947-05-2016</t>
  </si>
  <si>
    <t>NORMA PATRICIA AVILA RAMIREZ</t>
  </si>
  <si>
    <t>R-CV-1857-04-2016</t>
  </si>
  <si>
    <t>R-CV-1107-04-2016</t>
  </si>
  <si>
    <t>R-CV-1096-04-2016</t>
  </si>
  <si>
    <t>R-CV-1990-06-2016</t>
  </si>
  <si>
    <t>R-CV-46-04-2016</t>
  </si>
  <si>
    <t>R-BS-47-05-2016</t>
  </si>
  <si>
    <t>MARIO NEPTALY VASQUEZ DURON</t>
  </si>
  <si>
    <t>R-CV-1876-04-2016</t>
  </si>
  <si>
    <t xml:space="preserve">DIABETES MELLITUS </t>
  </si>
  <si>
    <t>R-CV-1896-04-2016</t>
  </si>
  <si>
    <t>MARIA ZELENIA DIAZ ZAVALA</t>
  </si>
  <si>
    <t>R-CV-129-06-2016</t>
  </si>
  <si>
    <t>R-CV-1849-04-2016</t>
  </si>
  <si>
    <t>R-CV-1854-04-2016</t>
  </si>
  <si>
    <t>R-CV-1896-05-2016</t>
  </si>
  <si>
    <t>R-CV-153-05-2016</t>
  </si>
  <si>
    <t>LAURO HERNANDEZ GALINDO</t>
  </si>
  <si>
    <t>R-CV-1861-04-2016</t>
  </si>
  <si>
    <t>R-CV-1863-04-2016</t>
  </si>
  <si>
    <t>JORGE ALBERTO MORALES ORELLANA</t>
  </si>
  <si>
    <t>R-CV-1886-05-2016</t>
  </si>
  <si>
    <t>R-CV-1914-05-2016</t>
  </si>
  <si>
    <t>R-CV-42-04-2016</t>
  </si>
  <si>
    <t>EVENTO CEREBRO VASCULAR HEMORRAGICO</t>
  </si>
  <si>
    <t>R-CV-1940-06-2016</t>
  </si>
  <si>
    <t>R-BS-48-05-2016</t>
  </si>
  <si>
    <t>R-CV-1871-04-2016</t>
  </si>
  <si>
    <t>R-CV-1894-04-2016</t>
  </si>
  <si>
    <t>CARLOS ERASMO BAQUIS RAMIREZ</t>
  </si>
  <si>
    <t>R-CV-1882-05-2016</t>
  </si>
  <si>
    <t>R-CV-1902-05-2016</t>
  </si>
  <si>
    <t>RIGOBERTO SEVILLA</t>
  </si>
  <si>
    <t>R-CV-1801-03-2016</t>
  </si>
  <si>
    <t>R-CV-1785-03-2016</t>
  </si>
  <si>
    <t>CONTRATO DE REASEGURO DE EXCESOS DE PÉRDIDA OPERATIVO DE VIDA 2016</t>
  </si>
  <si>
    <t>DEL 01 DE ENERO 2016 AL 31 DE DICIEMBRE 2016</t>
  </si>
  <si>
    <t>PERIODO REPORTADO:</t>
  </si>
  <si>
    <t xml:space="preserve">TASA DE CAMBIO:  </t>
  </si>
  <si>
    <t>EQUIDAD COMPAÑÍA DE SEGUROS</t>
  </si>
  <si>
    <t>AÑO 2011</t>
  </si>
  <si>
    <t>VIDA</t>
  </si>
  <si>
    <t>PMD</t>
  </si>
  <si>
    <t>APORTE A LARG</t>
  </si>
  <si>
    <t>PRIMA DE AJUSTE</t>
  </si>
  <si>
    <t>GRAN TOTAL</t>
  </si>
  <si>
    <t>TASA VARIABLE</t>
  </si>
  <si>
    <t>Contrato Operativo</t>
  </si>
  <si>
    <t>6% - 12.38%</t>
  </si>
  <si>
    <t>Contrato Catastrófico</t>
  </si>
  <si>
    <t>AÑO 2012</t>
  </si>
  <si>
    <t>TASA FIJA</t>
  </si>
  <si>
    <t>AÑO 2013</t>
  </si>
  <si>
    <t>AÑO 2014</t>
  </si>
  <si>
    <t>AÑO 2015</t>
  </si>
  <si>
    <t>AÑO 2016</t>
  </si>
  <si>
    <t>TOTAL SINIESTROS A/C CONTRATO</t>
  </si>
  <si>
    <t>2015/14</t>
  </si>
  <si>
    <t>2016/15</t>
  </si>
  <si>
    <t>AÑO 2017</t>
  </si>
  <si>
    <t>CONTRATO DE REASEGURO DE EXCESOS DE PÉRDIDA OPERATIVO DE VIDA 2017</t>
  </si>
  <si>
    <t>R-CV-1265-03-2017</t>
  </si>
  <si>
    <t>R-CV-236-03-2017</t>
  </si>
  <si>
    <t>R-CV-2383-03-2017</t>
  </si>
  <si>
    <t>R-CV-2691-04-2017</t>
  </si>
  <si>
    <t>R-CV-67-04-2017</t>
  </si>
  <si>
    <t>R-CV-243-04-2017</t>
  </si>
  <si>
    <t>R-CV-70-04-2017</t>
  </si>
  <si>
    <t>R-CV-1286-04-2017</t>
  </si>
  <si>
    <t>R-CV-2439-04-2017</t>
  </si>
  <si>
    <t>R-CV-2464-05-2017</t>
  </si>
  <si>
    <t>R-CV-2759-05-2017</t>
  </si>
  <si>
    <t>R-CV-2659-03-2017</t>
  </si>
  <si>
    <t>R-CV-2406-03-2017</t>
  </si>
  <si>
    <t>R-CV-77-05-2017</t>
  </si>
  <si>
    <t>R-CV-73-05-2017</t>
  </si>
  <si>
    <t>R-CV-2799-05-2017</t>
  </si>
  <si>
    <t>R-CV-268-05-2017</t>
  </si>
  <si>
    <t>R-CV-2492-05-2017</t>
  </si>
  <si>
    <t>R-CV-2862-06-2017</t>
  </si>
  <si>
    <t>R-CV-280-06-2017</t>
  </si>
  <si>
    <t>R-CV-2531-06-2017</t>
  </si>
  <si>
    <t>R-CV-2789-05-2017</t>
  </si>
  <si>
    <t>R-CV-2489-05-2017</t>
  </si>
  <si>
    <t>R-CV-69-3-2017</t>
  </si>
  <si>
    <t>R-CV-2588-07-2017</t>
  </si>
  <si>
    <t>R-CV-1317-07-2017</t>
  </si>
  <si>
    <t>R-CV-2516-06-2017</t>
  </si>
  <si>
    <t>R-CV-2833-06-2017</t>
  </si>
  <si>
    <t>R-CV-1312-07-2017</t>
  </si>
  <si>
    <t>R-CV-2566-07-2017</t>
  </si>
  <si>
    <t>R-CV-68-05-2017</t>
  </si>
  <si>
    <t>R-CV-2486-05-2017</t>
  </si>
  <si>
    <t>R-CV-1297-05-2017</t>
  </si>
  <si>
    <t>R-CV-1309-07-2017</t>
  </si>
  <si>
    <t>R-CV-2547-07-2017</t>
  </si>
  <si>
    <t>R-CV-2953-07-2017</t>
  </si>
  <si>
    <t>R-CV-2591-07-2017</t>
  </si>
  <si>
    <t>R-CV-2938-07-2017</t>
  </si>
  <si>
    <t>R-CV-2579-07-2017</t>
  </si>
  <si>
    <t>R-CV-2642-09-2017</t>
  </si>
  <si>
    <t>R-CV-298-09-2017</t>
  </si>
  <si>
    <t>R-CV-1331-09-2017</t>
  </si>
  <si>
    <t>R-CV-2666-09-2017</t>
  </si>
  <si>
    <t>R-CV-2678-09-2017</t>
  </si>
  <si>
    <t>KARLA GERARDINA SALGADO PALMA</t>
  </si>
  <si>
    <t>JORGE ARMANDO REYES REYES</t>
  </si>
  <si>
    <t>SAMUEL ALVAREZ FLORES</t>
  </si>
  <si>
    <t>OMAR ANTONIO ABUDEYES ZAVALA</t>
  </si>
  <si>
    <t>FILANDER WILFREDO MEZA MUNGUIA</t>
  </si>
  <si>
    <t>KELVIN ARTURO SANCHEZ MELGAR</t>
  </si>
  <si>
    <t>FAUSTO RAMIREZ AGUILAR</t>
  </si>
  <si>
    <t>JULIA ISABEL GARAY</t>
  </si>
  <si>
    <t>VILMA YOLANDA RODRIGUEZ BAIZA</t>
  </si>
  <si>
    <t>LIDIA ONDINA ROSALES ISAULA</t>
  </si>
  <si>
    <t xml:space="preserve">LESBIA MEJIA AVILA </t>
  </si>
  <si>
    <t xml:space="preserve">MARIA ZENAIDA ORTIZ ZUNIGA </t>
  </si>
  <si>
    <t>VILMA SAGRARIO SERVELLON VALLE</t>
  </si>
  <si>
    <t>JORGE ROGELIO VILLALTA PAZ</t>
  </si>
  <si>
    <t>ODIN HUMBERTO MORENO BACA</t>
  </si>
  <si>
    <t>JAVIER ALBERTO OSORIO CARRASCO</t>
  </si>
  <si>
    <t>LUIS FELIPE LAZO MARTINEZ</t>
  </si>
  <si>
    <t>ROBERTO ALFONSO POSAS COTO</t>
  </si>
  <si>
    <t>CANCER DE CERVIX ESTADIO III - B</t>
  </si>
  <si>
    <t>LINFMOMA NON HODGKINS DE CELULAS B</t>
  </si>
  <si>
    <t>HANSENASIS MEPROMATOSA</t>
  </si>
  <si>
    <t>ANEURISMA AORTICO ABDOMINAL</t>
  </si>
  <si>
    <t>HIPERTENSION ARTERIAL NO CONTROLADA</t>
  </si>
  <si>
    <t>DEL 01 DE ENERO 2017 AL 30 DE SEPTIEMBRE 2017</t>
  </si>
  <si>
    <t>R-CV-2462-12-2016</t>
  </si>
  <si>
    <t>DOLAURA DE JESUS BARRIENTO</t>
  </si>
  <si>
    <t>R-CV-2265-12-2016</t>
  </si>
  <si>
    <t>R-CV-1169-08-2016</t>
  </si>
  <si>
    <t>FREDIS JOAQUIN ROMERO BAIRES</t>
  </si>
  <si>
    <t>CANCER NEUOENDOCRINO</t>
  </si>
  <si>
    <t>R-CV-2043-08-2016</t>
  </si>
  <si>
    <t>R-CV-172-10-2016</t>
  </si>
  <si>
    <t>R-CV-2162-10-2016</t>
  </si>
  <si>
    <t>R-CV-2308-10-2016</t>
  </si>
  <si>
    <t>R-CV-2334-10-2016</t>
  </si>
  <si>
    <t>GUADALUPE LOPEZ RODRIGUEZ</t>
  </si>
  <si>
    <t>TUMOR CEREBRAL MALIGNO</t>
  </si>
  <si>
    <t>R-CV-2173-10-2016</t>
  </si>
  <si>
    <t>R-CV-182-10-2016</t>
  </si>
  <si>
    <t>ISIS ZELANIA ROAMOS RAMOS</t>
  </si>
  <si>
    <t>R-CV-2368-11-2016</t>
  </si>
  <si>
    <t>JOSE LEONEL PEREZ RIVERA</t>
  </si>
  <si>
    <t>VIH/SIDA</t>
  </si>
  <si>
    <t>R-CV-2201-11-2016</t>
  </si>
  <si>
    <t>R-CV-2200-11-2016</t>
  </si>
  <si>
    <t>JUAN DE DIOS ORDOÑEZ MATAMOROS</t>
  </si>
  <si>
    <t>R-CV-1210-11-2016</t>
  </si>
  <si>
    <t>R-CV-188-11-2016</t>
  </si>
  <si>
    <t>R-CV-2433-12-2016</t>
  </si>
  <si>
    <t>R-CV-2426-11-2016</t>
  </si>
  <si>
    <t>LUIS BELTRAN BUESO TORRES</t>
  </si>
  <si>
    <t>R-CV-2241-11-2016</t>
  </si>
  <si>
    <t>R-CV-2264-12-2016</t>
  </si>
  <si>
    <t>R-CV-1229-12-2016</t>
  </si>
  <si>
    <t>R-CV-2395-11-2016</t>
  </si>
  <si>
    <t>MARCO TULIO HENRIQUEZ VILLEDA</t>
  </si>
  <si>
    <t>R-CV-2223-11-2016</t>
  </si>
  <si>
    <t>R-CV-2197-09-2016</t>
  </si>
  <si>
    <t>R-CV-2084-09-2016</t>
  </si>
  <si>
    <t>R-CV-2276-12-2016</t>
  </si>
  <si>
    <t>MARIA GABRIELA MARTEL ZUNIGA</t>
  </si>
  <si>
    <t>R-CV-2177-11-2016</t>
  </si>
  <si>
    <t>REMBERTO ANTONIO MURCIA URRUTIA</t>
  </si>
  <si>
    <t>R-CV-2341-11-2016</t>
  </si>
  <si>
    <t>R-CV-2475-12-2016</t>
  </si>
  <si>
    <t>SANDRA ISABEL GALLARDO MARTINEZ</t>
  </si>
  <si>
    <t>R-CV-2273-12-2016</t>
  </si>
  <si>
    <t>R-CV-2532-01-2017</t>
  </si>
  <si>
    <t>ANGEL MARIA GONZALEZ MENDOZA</t>
  </si>
  <si>
    <t>R-CV-2324-01-2017</t>
  </si>
  <si>
    <t>R-CV-67-01-2017</t>
  </si>
  <si>
    <t>R-CV-2208-11-2016</t>
  </si>
  <si>
    <t>ARMANDO LARA GONZALES</t>
  </si>
  <si>
    <t>EVENTO CEREBROVASCULAR ISQUEMICO</t>
  </si>
  <si>
    <t>R-CV-2209-11-2016</t>
  </si>
  <si>
    <t>R-CV-63-11-2016</t>
  </si>
  <si>
    <t>R-CV-160-12-2016</t>
  </si>
  <si>
    <t>CARLOS HUMBERTO MATAMOROS LOPEZ</t>
  </si>
  <si>
    <t>R-CV-65-12-2016</t>
  </si>
  <si>
    <t>R-CV-2282-12-2016</t>
  </si>
  <si>
    <t>R-CV-2502-12-2016</t>
  </si>
  <si>
    <t>CORONADO SERRANO MENDOZA</t>
  </si>
  <si>
    <t>R-CV-2289-12-2016</t>
  </si>
  <si>
    <t>R-CV-215-12-2016</t>
  </si>
  <si>
    <t>R-CV-1244-01-2017</t>
  </si>
  <si>
    <t>EDITH MARINA SORIANO PONCE</t>
  </si>
  <si>
    <t>TUMOR RECTAL CON METASTASIS A PERITONEO</t>
  </si>
  <si>
    <t>R-CV-2338-01-2017</t>
  </si>
  <si>
    <t>R-CV-2516-12-2016</t>
  </si>
  <si>
    <t>J CARLOS RAMIREZ</t>
  </si>
  <si>
    <t>R-CV-2302-12-2016</t>
  </si>
  <si>
    <t>R-CV-315-02-2017</t>
  </si>
  <si>
    <t>R-CV-2308-01-2017</t>
  </si>
  <si>
    <t>JUAN CARLOS VILLALVIR GALVAN</t>
  </si>
  <si>
    <t>NEUMONIA SEVERA</t>
  </si>
  <si>
    <t>R-CV-2563-01-2017</t>
  </si>
  <si>
    <t>DISTRES RESPIRATORIO AGUDO</t>
  </si>
  <si>
    <t>R-CV-2346-01-2017</t>
  </si>
  <si>
    <t>R-CV-2553-01-2017</t>
  </si>
  <si>
    <t>MAYRA YOLIBETH MARTINEZ MARTINEZ</t>
  </si>
  <si>
    <t>R-CV-2335-01-2017</t>
  </si>
  <si>
    <t>R-CV-2610-03-2017</t>
  </si>
  <si>
    <t>SANDRA LISSETH AVILA</t>
  </si>
  <si>
    <t>R-CV-2382-03-2017</t>
  </si>
  <si>
    <t>R-CV-2555-1-2017</t>
  </si>
  <si>
    <t>VIRGILIO NORALES ALVAREZ</t>
  </si>
  <si>
    <t>SHOCK SÉPTICO</t>
  </si>
  <si>
    <t>R-CV-2336-1-2017</t>
  </si>
  <si>
    <t>R-CV-223-1-2017</t>
  </si>
  <si>
    <t>AMPARO MASIVO</t>
  </si>
  <si>
    <t>R-CV-2319-01-2017</t>
  </si>
  <si>
    <t>ARMANDO BENJAMIN LIZARDO HERNANDEZ</t>
  </si>
  <si>
    <t>R-CV-2526-01-2017</t>
  </si>
  <si>
    <t>R-CV-2594-08-2017</t>
  </si>
  <si>
    <t xml:space="preserve">BRONCO ASPIRACION ALIMENTICIA </t>
  </si>
  <si>
    <t>R-CV-2963-08-2017</t>
  </si>
  <si>
    <t>R-CV-170-09-2017</t>
  </si>
  <si>
    <t>R-CV-314-10-2017</t>
  </si>
  <si>
    <t>R-CV-2702-10-2017</t>
  </si>
  <si>
    <t>R-CV-3122-10-2017</t>
  </si>
  <si>
    <t>RAMON VIDAL RODRIGUEZ ERAZO</t>
  </si>
  <si>
    <t xml:space="preserve">FALLO CARDIORESPIRATORIO </t>
  </si>
  <si>
    <t>R-CV-82-10-2017</t>
  </si>
  <si>
    <t>R-CV-79-09-2017</t>
  </si>
  <si>
    <t>R-CV-168-09-2017</t>
  </si>
  <si>
    <t>R-CV-169-09-2017</t>
  </si>
  <si>
    <t>CARMEN LIZETH MANCIA LINARES</t>
  </si>
  <si>
    <t>MAURICIO JOSE PINEDA CASTILLO</t>
  </si>
  <si>
    <t>'2017/16</t>
  </si>
  <si>
    <t>R-CV-2684-09-2017</t>
  </si>
  <si>
    <t>EDGARDO WENCESLAO SANTOS RAMOS</t>
  </si>
  <si>
    <t>R-AP-75-04-2017</t>
  </si>
  <si>
    <t>SAUL SALEH VELASQUEZ GABRIE</t>
  </si>
  <si>
    <t>LINFOMAGASTRICO</t>
  </si>
  <si>
    <t>R-CV-2815-06-2017</t>
  </si>
  <si>
    <t>R-CV-3161-10-2017</t>
  </si>
  <si>
    <t>MANUEL RICARDO RODRIGUEZ AMADOR</t>
  </si>
  <si>
    <t>R-CV-2729-10-2017</t>
  </si>
  <si>
    <t>R - CV - 3227 - 11 - 2017</t>
  </si>
  <si>
    <t>R-CV-29-09-2017</t>
  </si>
  <si>
    <t>R-CV-2796-11-2017</t>
  </si>
  <si>
    <t>RITA MARIA DAVILA</t>
  </si>
  <si>
    <t>CANCINOMATOSIS</t>
  </si>
  <si>
    <t>R-CV-2786-11-2017</t>
  </si>
  <si>
    <t>SANDERSON FRANCISCO MEJIA HERNANDEZ</t>
  </si>
  <si>
    <t>R-CV-3231-11-2017</t>
  </si>
  <si>
    <t>GASTOS FUNEBRES, MUERTE</t>
  </si>
  <si>
    <t>R-CV-3306-12-2017</t>
  </si>
  <si>
    <t>FALLA RENAL AGUDA</t>
  </si>
  <si>
    <t>R-CV-2779-11-2017</t>
  </si>
  <si>
    <t>SAGRARIO CALDERON RIVERA</t>
  </si>
  <si>
    <t>R-CV-3226-11-2017</t>
  </si>
  <si>
    <t>R - CV - 2873 - 01 - 2018</t>
  </si>
  <si>
    <t>EQUIDAD COMPAÑÍA DE SEGUROS S. A. - HONDURAS</t>
  </si>
  <si>
    <t>CONTRATO DE REASEGURO DE EXCESOS DE PÉRDIDA OPERATIVO DE VIDA 2018</t>
  </si>
  <si>
    <t>R - CV - 3066 - 05 - 2018</t>
  </si>
  <si>
    <t>ANTONIO MALDONADO MEJIA</t>
  </si>
  <si>
    <t>R - CV - 3637 - 05 - 2018</t>
  </si>
  <si>
    <t>HIPERTENSIÓN ARTERIAL</t>
  </si>
  <si>
    <t>R - CV - 3055 - 05 - 2018</t>
  </si>
  <si>
    <t>DOLORES ARITA HERNANDEZ</t>
  </si>
  <si>
    <t>R - CV - 3619 - 05 - 2018</t>
  </si>
  <si>
    <t>R - CV - 2964 - 03 - 2018</t>
  </si>
  <si>
    <t>GLENDA XIOMARA LANDAVERDE GARCIA</t>
  </si>
  <si>
    <t>R - CV - 3469 - 03 - 2018</t>
  </si>
  <si>
    <t>SHOCK  SEPTICO</t>
  </si>
  <si>
    <t>R - CV - 430 - 04 - 2018</t>
  </si>
  <si>
    <t>VIDA DEUDOR DECLARATIVO</t>
  </si>
  <si>
    <t>R - CV - 436 - 04 - 2018</t>
  </si>
  <si>
    <t>R - CV - 3557 - 04 - 2018</t>
  </si>
  <si>
    <t>R - CV - 95 - 04 - 2018</t>
  </si>
  <si>
    <t>JESUS ADALBERTO GONZALES CRUZ</t>
  </si>
  <si>
    <t>R - CV - 3535 - 04 - 2018</t>
  </si>
  <si>
    <t>R-CV-96-04-2018</t>
  </si>
  <si>
    <t>JOSE JORGE IZAGUIRRE MONTENEGRO</t>
  </si>
  <si>
    <t>LINFOMA DESEMINADO EN SU ETAPA TERMINAL</t>
  </si>
  <si>
    <t>R-CV-3566-04-2018</t>
  </si>
  <si>
    <t>LINFOMA DISEMINADOEN SU ETAPATERMINAL</t>
  </si>
  <si>
    <t>R - CV - 3076 - 05 - 2018</t>
  </si>
  <si>
    <t>JUSTINA GRANDES CANALES</t>
  </si>
  <si>
    <t>R - CV - 3652 - 05 - 2018</t>
  </si>
  <si>
    <t>R-CV-94-03-2018</t>
  </si>
  <si>
    <t>MARIO ALONSO GUIFARRO URBINA</t>
  </si>
  <si>
    <t>R-CV-406-04-2018</t>
  </si>
  <si>
    <t>AMPARO FÚNEBRE MASIVO</t>
  </si>
  <si>
    <t>R-CV-3039-04-2018</t>
  </si>
  <si>
    <t>R-CV-3596-04-2018</t>
  </si>
  <si>
    <t>R-SS-40-05-2018</t>
  </si>
  <si>
    <t>R - CV - 92 - 03 - 2018</t>
  </si>
  <si>
    <t>R - CV - 384 - 03 - 2018</t>
  </si>
  <si>
    <t>R - CV - 2968 - 03 - 2018</t>
  </si>
  <si>
    <t>R - CV - 3487 - 03 - 2018</t>
  </si>
  <si>
    <t>R - CV - 3011 - 04 - 2018</t>
  </si>
  <si>
    <t>MIGUEL ANTONIO AVILA LOPEZ</t>
  </si>
  <si>
    <t>HEPATO CARCINOMA</t>
  </si>
  <si>
    <t>R - CV - 3556 - 04 - 2018</t>
  </si>
  <si>
    <t>R - CV - 94 - 05 - 2018</t>
  </si>
  <si>
    <t>DIRECTIVOS Y EMPLEADOS DECLARATIVO</t>
  </si>
  <si>
    <t>OLIMPIA ORELLANA CASTRO</t>
  </si>
  <si>
    <t>CANCER METASTASICO Y PRIMARIO DE PANCREAS</t>
  </si>
  <si>
    <t>R - CV - 432 - 05 - 2018</t>
  </si>
  <si>
    <t>CANCER DE PANCREAS CON METASTASIS A HIGADO</t>
  </si>
  <si>
    <t>R - CV - 3088 - 05 - 2018</t>
  </si>
  <si>
    <t>R - CV - 3665 - 05 - 2018</t>
  </si>
  <si>
    <t>R - CV - 3583 - 04 - 2018</t>
  </si>
  <si>
    <t>RICARDO EDWIN MORRIS AMAYA</t>
  </si>
  <si>
    <t>ADENOCARCINOMA DE PANCREAS ESTADIO IV</t>
  </si>
  <si>
    <t>R - CV - 3042 - 04 - 2018</t>
  </si>
  <si>
    <t>Total Siniestros:</t>
  </si>
  <si>
    <t>R - CV - 104 - 07 - 2018</t>
  </si>
  <si>
    <t>DILMA DORIS RAMIREZ</t>
  </si>
  <si>
    <t>PARO CARDIO RESPIRATORIO FULMINANTE</t>
  </si>
  <si>
    <t>R - CV - 107 - 07 - 2018</t>
  </si>
  <si>
    <t>R - CV - 3197 - 07 - 2018</t>
  </si>
  <si>
    <t>R - CV - 3818 - 07 - 2018</t>
  </si>
  <si>
    <t>R-SS-45-09-2018</t>
  </si>
  <si>
    <t>R - CV - 3208 - 07 - 2018</t>
  </si>
  <si>
    <t>DIOGENES SIMON AGUILAR BONILLA</t>
  </si>
  <si>
    <t>R - CV - 480 - 07 - 2018</t>
  </si>
  <si>
    <t>R - CV - 3833 - 07 - 2018</t>
  </si>
  <si>
    <t>R - CV - 447 - 05 - 2018</t>
  </si>
  <si>
    <t>JORGE ALBERTO PEÑA</t>
  </si>
  <si>
    <t>R - CV - 3067 - 05 - 2018</t>
  </si>
  <si>
    <t>R - CV - 3640 - 05 - 2018</t>
  </si>
  <si>
    <t>R - CV - 3169 - 07 - 2018</t>
  </si>
  <si>
    <t>MARCO TULIO MARTINEZ ZUNIGA</t>
  </si>
  <si>
    <t>R - CV - 3787 - 07 - 2018</t>
  </si>
  <si>
    <t>R - CV - 3739 - 06 - 2018</t>
  </si>
  <si>
    <t>R-CV-1477-08-2018</t>
  </si>
  <si>
    <t>MARGARITA CANDELARIA BEJARANO PALACIOS</t>
  </si>
  <si>
    <t>R-CV-3247-08-2018</t>
  </si>
  <si>
    <t>R - CV - 459 - 07 - 2018</t>
  </si>
  <si>
    <t>R - CV - 3825 - 07 - 2018</t>
  </si>
  <si>
    <t>R - CV - 3213 - 07 - 2018</t>
  </si>
  <si>
    <t>MIRIAN ELISABETH URBINA IRIARTE</t>
  </si>
  <si>
    <t>R - CV - 3835 - 07 - 2018</t>
  </si>
  <si>
    <t>R - CV - 97 - 04 - 2018</t>
  </si>
  <si>
    <t>CANCER METASTASICO DE ESTOMAGO</t>
  </si>
  <si>
    <t>R - CV - 3027 - 04 - 2018</t>
  </si>
  <si>
    <t>R - CV - 482 - 07 - 2018</t>
  </si>
  <si>
    <t>CÁNCER METASTASICO DE ESTOMAGO</t>
  </si>
  <si>
    <t>R-CV-4010-09-2018</t>
  </si>
  <si>
    <t>CANCER METASTASICO</t>
  </si>
  <si>
    <t>R - CV - 3275 - 09 - 2018</t>
  </si>
  <si>
    <t>OSCAR JAVIER ERAZO MARTINEZ</t>
  </si>
  <si>
    <t>R - CV - 3933 - 09 - 2018</t>
  </si>
  <si>
    <t>R - CV - 3494 - 03 - 2018</t>
  </si>
  <si>
    <t>VICTOR MANUEL NARVAEZ REYES</t>
  </si>
  <si>
    <t>NEUMONIA ADQUIRIDA EN LA COMUNIDAD</t>
  </si>
  <si>
    <t>R - CV - 99 - 05 - 2018</t>
  </si>
  <si>
    <t>R - CV - 3125 - 06 - 2018</t>
  </si>
  <si>
    <t>R-BS-102-09-2018</t>
  </si>
  <si>
    <t>PROTECCIÓN FAMILIAR</t>
  </si>
  <si>
    <t>WILMER ADOLFO LARA RAMOS</t>
  </si>
  <si>
    <t>MIELOMA MULTIPLE</t>
  </si>
  <si>
    <t>R - CV - 105 - 07 - 2018</t>
  </si>
  <si>
    <t>ZOBEIDA VALDEZ OSORIO</t>
  </si>
  <si>
    <t>CANCER ENDOMETRIO</t>
  </si>
  <si>
    <t>DEL 01 DE ENERO 2018 AL 30 DE SEPTIEMBRE 2018</t>
  </si>
  <si>
    <t>AÑO 2018</t>
  </si>
  <si>
    <t>R - CV - 3395 - 01 - 2018</t>
  </si>
  <si>
    <t>FLORINDA REINA</t>
  </si>
  <si>
    <t>R - CV - 3126 - 06 - 2018</t>
  </si>
  <si>
    <t>R-CV-2923-07-2017</t>
  </si>
  <si>
    <t>HECTOR NOE RODRIGUEZ CARRILLO</t>
  </si>
  <si>
    <t>R-CV-2560-07-2017</t>
  </si>
  <si>
    <t>R - CV - 342 - 12 - 2017</t>
  </si>
  <si>
    <t>IRMA LETICIA VELASQUEZ VERDE</t>
  </si>
  <si>
    <t>R - CV - 3268 - 12 - 2017</t>
  </si>
  <si>
    <t>R - CV - 101 - 05 - 2018</t>
  </si>
  <si>
    <t>R - CV - 87 - 05 - 2018</t>
  </si>
  <si>
    <t>JOSE NORBERTO INOCENTE DERAS</t>
  </si>
  <si>
    <t>TOXOPLASMOSIS CEREBRAL</t>
  </si>
  <si>
    <t>R - CV - 93 - 05 - 2018</t>
  </si>
  <si>
    <t>JUAN ANGEL ARDON AYALA</t>
  </si>
  <si>
    <t>R - CV - 2887 - 01 - 2018</t>
  </si>
  <si>
    <t>INSUFICIENCIA RENAL SECUNDARIA A CANCER DE COLON METASTASICO</t>
  </si>
  <si>
    <t>R - CV - 3358 - 01 - 2018</t>
  </si>
  <si>
    <t>R - CV - 2816 - 12 - 2017</t>
  </si>
  <si>
    <t>PEDRO HERNANDEZ CRUZ</t>
  </si>
  <si>
    <t>R - CV - 3266 - 12 - 2017</t>
  </si>
  <si>
    <t>R - CV - 349 - 01 - 2018</t>
  </si>
  <si>
    <t>Siniestros a cargo del Contrato</t>
  </si>
  <si>
    <t>Total</t>
  </si>
  <si>
    <t>Prima Neta Suscrita</t>
  </si>
  <si>
    <t>Tasas del Contrato</t>
  </si>
  <si>
    <t>% de Siniestralidad</t>
  </si>
  <si>
    <t>CONTRATO DE REASEGURO DE EXCESOS DE PÉRDIDA OPERATIVO DE VIDA 2019</t>
  </si>
  <si>
    <t>TANIA NOELIA PAVON ZEPEDA</t>
  </si>
  <si>
    <t>R-CV-3712-03-2019</t>
  </si>
  <si>
    <t>R-CV-4525-03-2019</t>
  </si>
  <si>
    <t>R-CV-625-03-2019</t>
  </si>
  <si>
    <t>R-CV-122-03-2019</t>
  </si>
  <si>
    <t>SANTA ONDINA CANALES</t>
  </si>
  <si>
    <t>R-CV-4711-05-2019</t>
  </si>
  <si>
    <t>R-CV-3873-05-2019</t>
  </si>
  <si>
    <t>CIRROSIS HEPATICA DESCOMPENSADA</t>
  </si>
  <si>
    <t>PEDRO GOMEZ DOMINGUEZ</t>
  </si>
  <si>
    <t>R-CV-1578-03-2019</t>
  </si>
  <si>
    <t>R-CV-3704-03-2019</t>
  </si>
  <si>
    <t>MAURICIO ENRIQUE BETANCOURTH CARRASCO</t>
  </si>
  <si>
    <t>R-CV-5074-09-2019</t>
  </si>
  <si>
    <t>R-CV-4165-09-2019</t>
  </si>
  <si>
    <t>R-CV-131-09-2019</t>
  </si>
  <si>
    <t>MARIA EUGENIA BOQUIN HERNANDEZ</t>
  </si>
  <si>
    <t>R - CV - 4762 - 06 - 2019</t>
  </si>
  <si>
    <t>R - CV - 3917 - 06 - 2019</t>
  </si>
  <si>
    <t>JULIO ENRIQUE HERRERA MONCADA</t>
  </si>
  <si>
    <t>R-BS-120-03-2019</t>
  </si>
  <si>
    <t>R - CV - 4380 - 02 - 2019</t>
  </si>
  <si>
    <t>R - CV - 3592 - 02 - 2019</t>
  </si>
  <si>
    <t>CHOQUE HIPOVOLEMICO + INSUFICIENCIA RENAL AGUDA OLIGURICA</t>
  </si>
  <si>
    <t>JOSE JAVIER TABORA MURCIA</t>
  </si>
  <si>
    <t>R - CV - 4955 - 08 - 2019</t>
  </si>
  <si>
    <t>R - CV - 4072 - 08 - 2019</t>
  </si>
  <si>
    <t>R - CV - 128 - 08 - 2019</t>
  </si>
  <si>
    <t>R - SS - 54 - 08 - 2019</t>
  </si>
  <si>
    <t>DIABETES MELLITUS TIPO 2 COMPENSADA</t>
  </si>
  <si>
    <t>CARLOS ROBERTO OVIEDO MORALES</t>
  </si>
  <si>
    <t>R-CV-4878-07-2019</t>
  </si>
  <si>
    <t>R-CV-4659-05-2019</t>
  </si>
  <si>
    <t>R-CV-3875-05-2019</t>
  </si>
  <si>
    <t>R-CV-3822-05-2019</t>
  </si>
  <si>
    <t>R-CV-3803-05-2019</t>
  </si>
  <si>
    <t>CANCER HEPATICO</t>
  </si>
  <si>
    <t>ALVARO SANCHEZ</t>
  </si>
  <si>
    <t>R - CV - 4802 - 06 - 2019</t>
  </si>
  <si>
    <t>R - CV - 3959 - 06 - 2019</t>
  </si>
  <si>
    <t>AÑO 2019</t>
  </si>
  <si>
    <t>R - CV - 3791 - 04 - 2019</t>
  </si>
  <si>
    <t>R - CV - 95 - 05 - 2019</t>
  </si>
  <si>
    <t>R-SS-33-09-2015</t>
  </si>
  <si>
    <t>R-CV-4-07-2015</t>
  </si>
  <si>
    <t>IRINEA LIZETH MARTINEZ AVILEZ</t>
  </si>
  <si>
    <t>INDEMNIZACIÓN POR INCAPACIDAD TOTAL Y PERMAMENTE</t>
  </si>
  <si>
    <t>INDEMNIZACIÓN POR INCAPACIDAD TOTAL Y PERMANENTE</t>
  </si>
  <si>
    <t>LUPUS SISTEMICO</t>
  </si>
  <si>
    <t>MUERTE, GASTOS FUNEBRES</t>
  </si>
  <si>
    <t>GASTOS FÚNEBRES, MUERTE</t>
  </si>
  <si>
    <t>R - CV - 2896 - 01 - 2018</t>
  </si>
  <si>
    <t>R - CV - 3386 - 01 - 2018</t>
  </si>
  <si>
    <t>R - CV - 1468 - 07 - 2018</t>
  </si>
  <si>
    <t>R - CV - 3200 - 07 - 2018</t>
  </si>
  <si>
    <t>KAREN YULIET GARCIA SERVELLON</t>
  </si>
  <si>
    <t>NEUMONIA POR BRONCO ASPIRACION</t>
  </si>
  <si>
    <t>NEUMONIA POR BRONCASPIRACION</t>
  </si>
  <si>
    <t>FALLA ORGANICA MULTIPLE</t>
  </si>
  <si>
    <t>R - CV - 582 - 01 - 2019</t>
  </si>
  <si>
    <t>R - CV - 3549 - 01 - 2019</t>
  </si>
  <si>
    <t>R - CV - 4323 - 01 - 2019</t>
  </si>
  <si>
    <t>R - CV - 93 - 04 - 2019</t>
  </si>
  <si>
    <t>ABEL IZAGUIRRE RUBIO</t>
  </si>
  <si>
    <t>R-CV-538-11-2018</t>
  </si>
  <si>
    <t>R-CV-3390-11-2018</t>
  </si>
  <si>
    <t>R-CV-3410-11-2018</t>
  </si>
  <si>
    <t>R-CV-4122-11-2018</t>
  </si>
  <si>
    <t>R-CV-4162-11-2018</t>
  </si>
  <si>
    <t>ADA PATRICIA MEDINA BENITES</t>
  </si>
  <si>
    <t>SHOCK DISTRIBUTIVO CON FALLA MULTIORGANICA</t>
  </si>
  <si>
    <t>CANCER CABEZA PANCREAS CON METASTASIS A SEGMENTO 4 Y 5 DE HIGADO</t>
  </si>
  <si>
    <t>R - CV - 108 - 12 - 2018</t>
  </si>
  <si>
    <t>CARMEN REGINA MARTINEZ AGUILAR</t>
  </si>
  <si>
    <t>GASTOS FUNEBRES, MUERTE, MUERTE</t>
  </si>
  <si>
    <t>R-CV-119-02-2019</t>
  </si>
  <si>
    <t>R-CV-3611-02-2019</t>
  </si>
  <si>
    <t>R-CV-4401-02-2019</t>
  </si>
  <si>
    <t>ELIZABETH GONZALEZ MONTIEL</t>
  </si>
  <si>
    <t>LESION RENAL AGUDA</t>
  </si>
  <si>
    <t>R-CV-3273-09-2018</t>
  </si>
  <si>
    <t>R - CV - 3921 - 09 - 2018</t>
  </si>
  <si>
    <t>R - CV - 3403 - 11 - 2018</t>
  </si>
  <si>
    <t>R - CV - 4148 - 11 - 2018</t>
  </si>
  <si>
    <t>ERLINDO AMAYA MACHADO</t>
  </si>
  <si>
    <t>ESTRADA TORRES NINDIRI</t>
  </si>
  <si>
    <t>R - CV - 472 - 10 - 2018</t>
  </si>
  <si>
    <t>R-CV-3354-10-2018</t>
  </si>
  <si>
    <t>R - CV - 4068 - 10 - 2018</t>
  </si>
  <si>
    <t>R - CV - 1524 - 11 - 2018</t>
  </si>
  <si>
    <t>GERMAN CORTEZ COTO</t>
  </si>
  <si>
    <t>R-BS-118-02-2019</t>
  </si>
  <si>
    <t>R-CV-4367-02-2019</t>
  </si>
  <si>
    <t>GLENDA SUYAPA LOZANO CRUZ</t>
  </si>
  <si>
    <t>MUERTE POR CUALQUIER CAUSA, GASTOS FUNERARIOS</t>
  </si>
  <si>
    <t>CARCINOMA DE CELULAS ESCAMOSAS MEDIANAMENTE DIFERENCIADO</t>
  </si>
  <si>
    <t>CARCINOMA DE CELULAS ESCAMOSAS MEDIANAMENTE DIRENCIADO EN OROFARINGE</t>
  </si>
  <si>
    <t>R-CV-555-12-2018</t>
  </si>
  <si>
    <t>R-CV-1527-12-2018</t>
  </si>
  <si>
    <t>R-CV-3470-12-2018</t>
  </si>
  <si>
    <t>R-CV-113-12-2018</t>
  </si>
  <si>
    <t>GUILLERMO REINERIO SALGUERO</t>
  </si>
  <si>
    <t>TUMOR OSEO TIPO PLASTICINOMA</t>
  </si>
  <si>
    <t>TUMOR ÓSEO TIPO PLASMOCITOMA</t>
  </si>
  <si>
    <t>R-BS-106-11-2018</t>
  </si>
  <si>
    <t>HECTOR HERNAN MONCADA GONZALEZ</t>
  </si>
  <si>
    <t>R - CV - 1501 - 10 - 2018</t>
  </si>
  <si>
    <t>R - CV - 3334 - 10 - 2018</t>
  </si>
  <si>
    <t>R - CV - 3329 - 10 - 2018</t>
  </si>
  <si>
    <t>R - CV - 4035 - 10 - 2018</t>
  </si>
  <si>
    <t>HORACIO RAMON ORTEGA SANCHEZ</t>
  </si>
  <si>
    <t>MUERTE, MUERTE, GASTOS FUNEBRES</t>
  </si>
  <si>
    <t>IGNACIO ENRIQUE PAZ GARCIA</t>
  </si>
  <si>
    <t>R-CV-1543-12-2018</t>
  </si>
  <si>
    <t>R-CV-3512-12-2018</t>
  </si>
  <si>
    <t>ISMAEL MOISES RIVERA</t>
  </si>
  <si>
    <t>R - CV - 1511 - 10 - 2018</t>
  </si>
  <si>
    <t>R - CV - 3373 - 10 - 2018</t>
  </si>
  <si>
    <t>JAIRO ELIECER DELCID LOPEZ</t>
  </si>
  <si>
    <t>R-CV-107-10-2018</t>
  </si>
  <si>
    <t>R-CV-3362-10-2018</t>
  </si>
  <si>
    <t>R - CV - 4081 - 10 - 2018</t>
  </si>
  <si>
    <t>R - CV - 90 - 01 - 2019</t>
  </si>
  <si>
    <t>R - CV - 3581 - 01 - 2019</t>
  </si>
  <si>
    <t>JESSY ANUVIS ORTIZ ROMERO</t>
  </si>
  <si>
    <t>JESUS ANTONIO MONGE TRIGUEROS</t>
  </si>
  <si>
    <t>ESCLEROSIS LATERAL PRIMARIA CON RIGIDEZ GENERALIZADA</t>
  </si>
  <si>
    <t>R - CV - 3146 - 06 - 2018</t>
  </si>
  <si>
    <t>R-CV-3400-11-2018</t>
  </si>
  <si>
    <t>R-CV-4143-11-2018</t>
  </si>
  <si>
    <t>JOSE ALFREDO DIAZ TURCIOS</t>
  </si>
  <si>
    <t>LINFOMA</t>
  </si>
  <si>
    <t>CANCER TIPO AVANZADO</t>
  </si>
  <si>
    <t>R - CV - 3490 - 12 - 2018</t>
  </si>
  <si>
    <t>R - CV - 4255 - 12 - 2018</t>
  </si>
  <si>
    <t>R - CV - 526 - 10 - 2018</t>
  </si>
  <si>
    <t>R - CV - 1510 - 10 - 2018</t>
  </si>
  <si>
    <t>R - CV - 3367 - 10 - 2018</t>
  </si>
  <si>
    <t>JOSE ELBIR HERNANDEZ LEON</t>
  </si>
  <si>
    <t>JOSE GABRIEL MONTOYA ESPINAL</t>
  </si>
  <si>
    <t>R - CV - 3383 - 10 - 2018</t>
  </si>
  <si>
    <t>R - CV - 4114 - 10 - 2018</t>
  </si>
  <si>
    <t>JULIO CESAR FUNES LUQUE</t>
  </si>
  <si>
    <t>R-CV-118-02-2019</t>
  </si>
  <si>
    <t>R-CV-600-02-2019</t>
  </si>
  <si>
    <t>R-CV-4387-02-2019</t>
  </si>
  <si>
    <t>JUVERNANDO RAMIREZ HERNANDEZ</t>
  </si>
  <si>
    <t>R-CV-624-03-2019</t>
  </si>
  <si>
    <t>R-CV-3710-03-2019</t>
  </si>
  <si>
    <t>R-CV-4524-03-2019</t>
  </si>
  <si>
    <t>R - CV - 3716 - 03 - 2019</t>
  </si>
  <si>
    <t>LUIS ALONSO ERAZO ERAZO</t>
  </si>
  <si>
    <t>DOBLE INDEMNIZACIÓN POR MUERTE ACCIDENTAL, MUERTE, GASTOS FUNEBRES</t>
  </si>
  <si>
    <t>GASTOS FUNEBRES, MUERTE, DOBLE INDEMNIZACION POR MUERTE ACCIDENTAL</t>
  </si>
  <si>
    <t>R - CV - 466 - 08 - 2018</t>
  </si>
  <si>
    <t>R - CV - 3910 - 08 - 2018</t>
  </si>
  <si>
    <t>R - CV - 3471 - 12 - 2018</t>
  </si>
  <si>
    <t>R - CV - 4222 - 12 - 2018</t>
  </si>
  <si>
    <t>PEDRO TULIO GUEVARA REYES</t>
  </si>
  <si>
    <t>R-CV-120-02-2019</t>
  </si>
  <si>
    <t>R-CV-4439-02-2019</t>
  </si>
  <si>
    <t>R-CV-3630-02-2019</t>
  </si>
  <si>
    <t>RAMON HERNAN RODRIGUEZ</t>
  </si>
  <si>
    <t>NEUMONIA POR BRONCOASPIRACION</t>
  </si>
  <si>
    <t>R-CV-590-01-2019</t>
  </si>
  <si>
    <t>R-CV-3563-01-2019</t>
  </si>
  <si>
    <t>R-CV-4337-01-2019</t>
  </si>
  <si>
    <t>REINALDO MARADIAGA RUBIO</t>
  </si>
  <si>
    <t>R-CV-3356-10-2018</t>
  </si>
  <si>
    <t>R - CV - 4072 - 10 - 2018</t>
  </si>
  <si>
    <t>R - CV - 4084 - 10 - 2018</t>
  </si>
  <si>
    <t>ROBERTO CABRERA PACHECO</t>
  </si>
  <si>
    <t>LINFOMA NO HODKING AVANZADO</t>
  </si>
  <si>
    <t>R - CV - 3364 - 10 - 2018</t>
  </si>
  <si>
    <t>R - CV - 4082 - 10 - 2018</t>
  </si>
  <si>
    <t>ROSA ESTER PEREZ POSADAS</t>
  </si>
  <si>
    <t>CARCINOSARCOMA DE UTERO METASTASICO</t>
  </si>
  <si>
    <t>R - CV - 1583 - 03 - 2019</t>
  </si>
  <si>
    <t>R-CV-3739-04-2019</t>
  </si>
  <si>
    <t>ROWENA SOFIA SAGRARIO ESPINOZA FIALLOS</t>
  </si>
  <si>
    <t>ARTROSIS COXO FEMORAL</t>
  </si>
  <si>
    <t>R - CV - 3569 - 01 - 2019</t>
  </si>
  <si>
    <t>R - CV - 4352 - 01 - 2019</t>
  </si>
  <si>
    <t>R - CV - 4164 - 09 - 2019</t>
  </si>
  <si>
    <t>R - CV - 5070 - 09 - 2019</t>
  </si>
  <si>
    <t>VICENTE AMAYA</t>
  </si>
  <si>
    <t>VICTORIANO MARTINEZ SANCHEZ</t>
  </si>
  <si>
    <t>R-CV-3658-02-2019</t>
  </si>
  <si>
    <t>R-CV-4458-02-2019</t>
  </si>
  <si>
    <t>R-CV-3607-02-2019</t>
  </si>
  <si>
    <t>R-CV-4396-02-2019</t>
  </si>
  <si>
    <t>R-CV-3616-02-2019</t>
  </si>
  <si>
    <t>R-CV-4411-02-2019</t>
  </si>
  <si>
    <t>R-CV-94-04-2019</t>
  </si>
  <si>
    <t>R-CV-1604-05-2019</t>
  </si>
  <si>
    <t>R-CV-3634-02-2019</t>
  </si>
  <si>
    <t>R-CV-4441-02-2019</t>
  </si>
  <si>
    <t>WALTER IVAN ALEMAN RAMIREZ</t>
  </si>
  <si>
    <t>ALCOHOLISMO</t>
  </si>
  <si>
    <t>EVENTO CEREBRO VASCULAR ISQUEMICO CARDIO EMBOLICO EN ARTERIA CEREBRAL</t>
  </si>
  <si>
    <t>2018/17</t>
  </si>
  <si>
    <t>2019/18</t>
  </si>
  <si>
    <t>Límites Máximos por Plan:</t>
  </si>
  <si>
    <t>Préstamos</t>
  </si>
  <si>
    <t>Saldo de Deuda</t>
  </si>
  <si>
    <t>Ahorros</t>
  </si>
  <si>
    <t xml:space="preserve">Accidentes Personales </t>
  </si>
  <si>
    <t>Protección Familiar(Bancaseguros)</t>
  </si>
  <si>
    <t>CÁLCULO BURNING COST EQUIDAD INDEXADO PRIORIDAD ESTANDARIZADA 721,704</t>
  </si>
  <si>
    <t xml:space="preserve">Opción 1 </t>
  </si>
  <si>
    <t>Tasa Fija</t>
  </si>
  <si>
    <t>Tasa Variable</t>
  </si>
  <si>
    <t>3.00% - 7.90%</t>
  </si>
  <si>
    <t>2.50% - 7.90%</t>
  </si>
  <si>
    <t>RGA</t>
  </si>
  <si>
    <t>GEN RE.</t>
  </si>
  <si>
    <t>31.03.2020</t>
  </si>
  <si>
    <t>31.01.2020</t>
  </si>
  <si>
    <t>Fecha de Pago</t>
  </si>
  <si>
    <t>Factor de Ajuste</t>
  </si>
  <si>
    <t>100/80</t>
  </si>
  <si>
    <t>DEL 01 DE ENERO 2019 AL 31 DE DICIEMBRE 2019</t>
  </si>
  <si>
    <t>R-CV-779-12-2019</t>
  </si>
  <si>
    <t>JULIO CESAR DALA SOTO</t>
  </si>
  <si>
    <t>ATEROESCLEROSIS CORONARIA</t>
  </si>
  <si>
    <t>R-CV-1696-12-2019</t>
  </si>
  <si>
    <t>R-CV-4374-12-2019</t>
  </si>
  <si>
    <t>R - CV - 4286 - 11 - 2019</t>
  </si>
  <si>
    <t>NELSON WALDEMAR GARZA VELA</t>
  </si>
  <si>
    <t>R - CV - 5235 - 11 - 2019</t>
  </si>
  <si>
    <t>R-CV-4265-11-2019</t>
  </si>
  <si>
    <t>SAMIR EDGARDO FÚNEZ MEJÍA</t>
  </si>
  <si>
    <t>PANCREATITIS SEVERA</t>
  </si>
  <si>
    <t>R-CV-5225-11-2019</t>
  </si>
  <si>
    <t>R - CV - 4341 - 12 - 2019</t>
  </si>
  <si>
    <t>SONIA YAMILETH CARBAJAL</t>
  </si>
  <si>
    <t>HIPERTENSION ARTERIAL + DIABETES MELLITUS TIPO II</t>
  </si>
  <si>
    <t>R - CV - 5297 - 12 - 2019</t>
  </si>
  <si>
    <t>R-CV-1668-09-2019</t>
  </si>
  <si>
    <t>VERONICA JANETH MORAN</t>
  </si>
  <si>
    <t>CANCER RENAL</t>
  </si>
  <si>
    <t>R-CV-4140-09-2019</t>
  </si>
  <si>
    <t>R-CV-4158-09-2019</t>
  </si>
  <si>
    <t>R-CV-5039-09-2019</t>
  </si>
  <si>
    <t>R-CV-4188-10-2019</t>
  </si>
  <si>
    <t>R-CV-5113-10-2019</t>
  </si>
  <si>
    <t>R - CV - 4470 - 01 - 2020</t>
  </si>
  <si>
    <t>JUAN CARLOS TINOCO NUÑEZ</t>
  </si>
  <si>
    <t>R-CV-4450-01-2020</t>
  </si>
  <si>
    <t>PRIMA AJUSTE</t>
  </si>
  <si>
    <t>CONTRATO DE REASEGURO DE EXCESOS DE PÉRDIDA OPERATIVO DE VIDA 2020</t>
  </si>
  <si>
    <t>R-CV-133-02-2020</t>
  </si>
  <si>
    <t>R-BS-156-02-2020</t>
  </si>
  <si>
    <t>R-CV-1727-02-2020</t>
  </si>
  <si>
    <t>R-CV-4545-02-2020</t>
  </si>
  <si>
    <t>CARLOS ENRIQUE ARDON MAIRENA</t>
  </si>
  <si>
    <t>R-CV-4613-03-2020</t>
  </si>
  <si>
    <t>R-CV-5606-03-2020</t>
  </si>
  <si>
    <t>R-CV-4618-03-2020</t>
  </si>
  <si>
    <t>R-CV-5609-03-2020</t>
  </si>
  <si>
    <t>R-CV-4606-03-2020</t>
  </si>
  <si>
    <t>R-CV-5598-03-2020</t>
  </si>
  <si>
    <t>ERASMO JAVIER GARCIA HERNANDEZ</t>
  </si>
  <si>
    <t>LEYLA ESTHER NARVAEZ MOLINA</t>
  </si>
  <si>
    <t>R-CV-846-04-2020</t>
  </si>
  <si>
    <t>R-CV-4665-04-2020</t>
  </si>
  <si>
    <t>R-CV-5647-04-2020</t>
  </si>
  <si>
    <t>R - CV - 4631 - 03 - 2020</t>
  </si>
  <si>
    <t>R - CV - 5624 - 03 - 2020</t>
  </si>
  <si>
    <t>ALLAN ROBERTO EUCEDA GARZA</t>
  </si>
  <si>
    <t>CANCER DE PANCREAS METASTASICO</t>
  </si>
  <si>
    <t>R - CV - 4128 - 09 - 2019</t>
  </si>
  <si>
    <t>CARLOS HUMBERTO RODRIGUEZ GIL</t>
  </si>
  <si>
    <t>SARCOMA DE CADERA DERECHA</t>
  </si>
  <si>
    <t xml:space="preserve">INCAPACIDAD </t>
  </si>
  <si>
    <t>AÑO 2020</t>
  </si>
  <si>
    <t>3% - 7.90%</t>
  </si>
  <si>
    <t>R-CV-4685-06-2020</t>
  </si>
  <si>
    <t>BLANCA ESTELA REYES INESTROZA</t>
  </si>
  <si>
    <t>R - CV - 4704 - 07 - 2020</t>
  </si>
  <si>
    <t>R - CV - 5714 - 07 - 2020</t>
  </si>
  <si>
    <t>JOSE ADOLFO VARGAS HERNANDEZ</t>
  </si>
  <si>
    <t>R - CV - 4718 - 07 - 2020</t>
  </si>
  <si>
    <t>R - CV - 5727 - 07 - 2020</t>
  </si>
  <si>
    <t>MELBY RUTH ROMERO CANTARERO</t>
  </si>
  <si>
    <t>R-CV-1774-08-2020</t>
  </si>
  <si>
    <t>R-CV-5800-08-2020</t>
  </si>
  <si>
    <t>R-CV-4731-07-2020</t>
  </si>
  <si>
    <t>R-CV-5737-07-2020</t>
  </si>
  <si>
    <t>R - CV - 4706 - 07 - 2020</t>
  </si>
  <si>
    <t>R - CV - 5718 - 07 - 2020</t>
  </si>
  <si>
    <t>R-CV-1770-07-2020</t>
  </si>
  <si>
    <t>R-CV-5785-07-2020</t>
  </si>
  <si>
    <t>R-CV-4701-07-2020</t>
  </si>
  <si>
    <t>R-CV-5709-07-2020</t>
  </si>
  <si>
    <t>R - CV - 5762 - 07 - 2020</t>
  </si>
  <si>
    <t>R - CV - 5765 - 07 - 2020</t>
  </si>
  <si>
    <t>R-CV-5803-08-2020</t>
  </si>
  <si>
    <t>DAVID OMAR PINEDA GOMEZ</t>
  </si>
  <si>
    <t>EFRAIN MORENO GUZMAN</t>
  </si>
  <si>
    <t>HENRY OMAR GUILLEN DUBON</t>
  </si>
  <si>
    <t>HERNAN ABEL CARRASCO MAYORGA</t>
  </si>
  <si>
    <t>JORGE LIZANDRO SANTOS</t>
  </si>
  <si>
    <t>SANTOS PASTOR CASTILLO ESCOBAR</t>
  </si>
  <si>
    <t>JOSE LUIS GALEAS NAJERA</t>
  </si>
  <si>
    <t>COVID-19</t>
  </si>
  <si>
    <t>CARLOS FEDERICO BARRIENTOS AMADOR</t>
  </si>
  <si>
    <t>DANILO ARNALDO MENJIVAR TORO</t>
  </si>
  <si>
    <t>R-CV-6025-09-2020</t>
  </si>
  <si>
    <t>R - CV - 5766 - 07 - 2020</t>
  </si>
  <si>
    <t>R-CV-4739-07-2020</t>
  </si>
  <si>
    <t>R - CV - 5817 - 08 - 2020</t>
  </si>
  <si>
    <t>R - CV - 5818 - 08 - 2020</t>
  </si>
  <si>
    <t>NEUMONIA ATIPICA POR COVID-19</t>
  </si>
  <si>
    <t>DIABETES MELLITUS TIPO II + HIPERTENSION ARTERIAL</t>
  </si>
  <si>
    <t>CANCER UTERINO EN ESTADO TERMINAL</t>
  </si>
  <si>
    <t>R - CV - 810 - 01 - 2020</t>
  </si>
  <si>
    <t>R - CV - 4487 - 01 - 2020</t>
  </si>
  <si>
    <t>R - CV - 5469 - 01 - 2020</t>
  </si>
  <si>
    <t>REINALDO SORIANO</t>
  </si>
  <si>
    <t>HEPATO CARINOMA METASTASICO</t>
  </si>
  <si>
    <t>R - CV - 4729 - 07 - 2020</t>
  </si>
  <si>
    <t>R - CV - 5733 - 07 - 2020</t>
  </si>
  <si>
    <t>R-CV-6021-09-2020</t>
  </si>
  <si>
    <t>R-CV-6006-09-2020</t>
  </si>
  <si>
    <t>R-CV-1805-09-2020</t>
  </si>
  <si>
    <t>R-CV-5878-09-2020</t>
  </si>
  <si>
    <t>R-CV-6092-09-2020</t>
  </si>
  <si>
    <t>R - CV - 6084 - 10 - 2020</t>
  </si>
  <si>
    <t>R - CV - 6127 - 10 - 2020</t>
  </si>
  <si>
    <t>R - CV - 104 - 09 - 2020</t>
  </si>
  <si>
    <t>R - CV - 5693 - 09 - 2020</t>
  </si>
  <si>
    <t>R - CV - 5866 - 09 - 2020</t>
  </si>
  <si>
    <t>R - CV - 5904 - 09 - 2020</t>
  </si>
  <si>
    <t>R - CV - 5822 - 08 - 2020</t>
  </si>
  <si>
    <t>R - CV - 5826 - 08 - 2020</t>
  </si>
  <si>
    <t>R-CV-6061-09-2020</t>
  </si>
  <si>
    <t>R-CV-6077-09-2020</t>
  </si>
  <si>
    <t>R-CV-1794-08-2020</t>
  </si>
  <si>
    <t>R-CV-5846-08-2020</t>
  </si>
  <si>
    <t>R-CV-5690-08-2020</t>
  </si>
  <si>
    <t>R-CV-5856-08-2020</t>
  </si>
  <si>
    <t>R-CV-5880-08-2020</t>
  </si>
  <si>
    <t>R - CV - 5999 - 09 - 2020</t>
  </si>
  <si>
    <t>R - CV - 6000 - 09 - 2020</t>
  </si>
  <si>
    <t>R - CV - 6182 - 10 - 2020</t>
  </si>
  <si>
    <t>R - CV - 6280 - 10 - 2020</t>
  </si>
  <si>
    <t>R - CV - 6302 - 10 - 2020</t>
  </si>
  <si>
    <t>R-CV-1799-09-2020</t>
  </si>
  <si>
    <t>R-CV-6058-09-2020</t>
  </si>
  <si>
    <t>R-CV-6069-09-2020</t>
  </si>
  <si>
    <t>ALEX REINERIO ANCHECTA CHINCHILLA</t>
  </si>
  <si>
    <t>DAVID SIERRA F</t>
  </si>
  <si>
    <t>LUCINDA EMILIANA MEZA VALERIANO</t>
  </si>
  <si>
    <t>RENE RODRIGUEZ LOPEZ</t>
  </si>
  <si>
    <t>RIGOBERTO GONZALES FUNEZ</t>
  </si>
  <si>
    <t>SONIA LUZ RODRIGUEZ</t>
  </si>
  <si>
    <t>MARIO DAVID IRIAS MEDINA</t>
  </si>
  <si>
    <t>MARIO DUBON</t>
  </si>
  <si>
    <t>HERNAN CASTAÑEDA MARQUEZ</t>
  </si>
  <si>
    <t>MARTA IDALIA MARADIAGA MARTINEZ</t>
  </si>
  <si>
    <t>INSUFICIENCIA RENAL AGUDA BILATERAL</t>
  </si>
  <si>
    <t>NEUMONIA ATIPICA AGUDA POR COVID-19</t>
  </si>
  <si>
    <t>NEUMONIA BILATERAL ATIPICA POR COVID-19</t>
  </si>
  <si>
    <t>SOSPECHA DE COVID-19</t>
  </si>
  <si>
    <t>SOSPECHA NEUMONIA POR COVID-19</t>
  </si>
  <si>
    <t>R - CV - 105 - 10 - 2020</t>
  </si>
  <si>
    <t>R - CV - 6213 - 10 - 2020</t>
  </si>
  <si>
    <t>HEBER ANTONIO JUAREZ VILLATORO</t>
  </si>
  <si>
    <t>EVENTO CEREBROVASCULAR ISQUEMICO A FALLA CEREBRAL</t>
  </si>
  <si>
    <t>R - CV - 6373 - 11 - 2020</t>
  </si>
  <si>
    <t>R - CV - 6390 - 11 - 2020</t>
  </si>
  <si>
    <t>ARQUIMEDES GUZMAN BENNETT</t>
  </si>
  <si>
    <t>DEL 01 DE ENERO 2020 AL 31 DE DICIEMBRE 2020</t>
  </si>
  <si>
    <t>R - CV - 6513 - 12 - 2020</t>
  </si>
  <si>
    <t>DONALDO ANTONIO REYES VILLEDA</t>
  </si>
  <si>
    <t>NEUMONIA GRAVE POR SARS COV-2 + PARO CARDIACO</t>
  </si>
  <si>
    <t>R - CV - 6595 - 12 - 2020</t>
  </si>
  <si>
    <t>R-CV-5877-01-2021</t>
  </si>
  <si>
    <t>ELVIN DONALDO HENRIQUEZ PORTILLO</t>
  </si>
  <si>
    <t>NEUMONIA POR COVID-19</t>
  </si>
  <si>
    <t>R-CV-6700-01-2021</t>
  </si>
  <si>
    <t>R-CV-6811-01-2021</t>
  </si>
  <si>
    <t>R - CV - 6831 - 02 - 2021</t>
  </si>
  <si>
    <t>EMILIO ROBERTO ORELLANA</t>
  </si>
  <si>
    <t>NEUMONIA SARS COV19</t>
  </si>
  <si>
    <t>R - CV - 6183 - 12 - 2020</t>
  </si>
  <si>
    <t>ENNA SOCORRO ESPINAL MIDENCE</t>
  </si>
  <si>
    <t>NEUMONIA ATIPICA SEVERA POR SARS COV-2</t>
  </si>
  <si>
    <t>R-CV-6694-01-2021</t>
  </si>
  <si>
    <t>R - CV - 6603 - 12 - 2020</t>
  </si>
  <si>
    <t>R - CV - 6549 - 12 - 2020</t>
  </si>
  <si>
    <t>R-CV-5842-12-2020</t>
  </si>
  <si>
    <t>R - CV - 6622 - 12 - 2020</t>
  </si>
  <si>
    <t>R - CV - 6844 - 02 - 2021</t>
  </si>
  <si>
    <t>GIOVANNI MARTINEZ LIZARDO</t>
  </si>
  <si>
    <t>R - CV - 7039 - 02 - 2021</t>
  </si>
  <si>
    <t>R - CV - 6375 - 11 - 2020</t>
  </si>
  <si>
    <t>HEYNSSON FRANCISCO RODRIGUEZ LINARES</t>
  </si>
  <si>
    <t>R - CV - 6395 - 11 - 2020</t>
  </si>
  <si>
    <t>R - CV - 7086 - 03 - 2021</t>
  </si>
  <si>
    <t>JEOVANI PAREDES</t>
  </si>
  <si>
    <t>R - CV - 7293 - 03 - 2021</t>
  </si>
  <si>
    <t>R - CV - 6630 - 12 - 2020</t>
  </si>
  <si>
    <t>JORGE ALBERTO BUESO IGLESIAS</t>
  </si>
  <si>
    <t>R - CV - 6680 - 01 - 2021</t>
  </si>
  <si>
    <t>R - CV - 6791 - 01 - 2021</t>
  </si>
  <si>
    <t>R-BS-183-11-2020</t>
  </si>
  <si>
    <t>JOSE HUMBERTO LOPEZ VILLANUEVA</t>
  </si>
  <si>
    <t>R-CV-6434-11-2020</t>
  </si>
  <si>
    <t>R - CV - 6287 - 10 - 2020</t>
  </si>
  <si>
    <t>R - CV - 6307 - 10 - 2020</t>
  </si>
  <si>
    <t>R - CV - 5802 - 08 - 2020</t>
  </si>
  <si>
    <t>JOSE NIMROD REYES</t>
  </si>
  <si>
    <t>R - CV - 5811 - 08 - 2020</t>
  </si>
  <si>
    <t>R - CV - 6512 - 12 - 2020</t>
  </si>
  <si>
    <t>JOSE REYNALDO ARRIOLA GALEAS</t>
  </si>
  <si>
    <t>R - CV - 6091 - 12 - 2020</t>
  </si>
  <si>
    <t>R - CV - 6594 - 12 - 2020</t>
  </si>
  <si>
    <t>R - CV - 6640 - 12 - 2020</t>
  </si>
  <si>
    <t>JUAN DIEGO ORTEZ</t>
  </si>
  <si>
    <t>CIRROSIS</t>
  </si>
  <si>
    <t>R - CV - 6754 - 12 - 2020</t>
  </si>
  <si>
    <t>R-CV-6141-11-2020</t>
  </si>
  <si>
    <t>JUAN MIGUEL CHAVEZ</t>
  </si>
  <si>
    <t>CIRROSIS CHILD PUG</t>
  </si>
  <si>
    <t>R-CV-6383-11-2020</t>
  </si>
  <si>
    <t>R-CV-6693-01-2021</t>
  </si>
  <si>
    <t>R - CV - 6092 - 12 - 2020</t>
  </si>
  <si>
    <t>JUAN RAMON POLANCO</t>
  </si>
  <si>
    <t>R - CV - 6760 - 12 - 2020</t>
  </si>
  <si>
    <t>R - CV - 6282 - 10 - 2020</t>
  </si>
  <si>
    <t>R-CV-6202-01-2021</t>
  </si>
  <si>
    <t>LUIS ANTONIO ENAMORADO VAQUERO</t>
  </si>
  <si>
    <t>R-CV-6723-01-2021</t>
  </si>
  <si>
    <t>R - CV - 6857 - 02 - 2021</t>
  </si>
  <si>
    <t>R-CV-6407-11-2020</t>
  </si>
  <si>
    <t>MANUEL ANTONIO TEJADA ROMERO</t>
  </si>
  <si>
    <t>R - CV - 6679 - 01 - 2021</t>
  </si>
  <si>
    <t>MARIA DEL CARMEN JIMENEZ</t>
  </si>
  <si>
    <t>R - CV - 6790 - 01 - 2021</t>
  </si>
  <si>
    <t>R - CV - 166 - 03 - 2021</t>
  </si>
  <si>
    <t>MARIO RODOLFO ESPINAL RODRIGUEZ</t>
  </si>
  <si>
    <t>R - BS - 198 - 03 - 2021</t>
  </si>
  <si>
    <t>R - CV - 6953 - 03 - 2021</t>
  </si>
  <si>
    <t>R - CV - 150 - 12 - 2020</t>
  </si>
  <si>
    <t>MARLEY EULALIO ERAZO RAMOS</t>
  </si>
  <si>
    <t>R - CV - 6579 - 12 - 2020</t>
  </si>
  <si>
    <t>R - CV - 6851 - 02 - 2021</t>
  </si>
  <si>
    <t>MIGUEL RAMON PINEDA DIAZ</t>
  </si>
  <si>
    <t>R - CV - 6859 - 02 - 2021</t>
  </si>
  <si>
    <t>MOISES DAVID CORDOVA BERNARDEZ</t>
  </si>
  <si>
    <t>R - BS - 204 - 03 - 2021</t>
  </si>
  <si>
    <t>R-CV-108-01-2021</t>
  </si>
  <si>
    <t>NELSON FRANCISCO GUTIERREZ</t>
  </si>
  <si>
    <t>R-CV-6209-01-2021</t>
  </si>
  <si>
    <t>R-CV-6743-01-2021</t>
  </si>
  <si>
    <t>R-CV-6872-01-2021</t>
  </si>
  <si>
    <t>R-CV-109-01-2021</t>
  </si>
  <si>
    <t>R-CV-6754-01-2021</t>
  </si>
  <si>
    <t>R - CV - 4689 - 06 - 2020</t>
  </si>
  <si>
    <t>PABLO CASTRO GONZALEZ</t>
  </si>
  <si>
    <t>R - CV - 5664 - 06 - 2020</t>
  </si>
  <si>
    <t>R - CV - 5688 - 06 - 2020</t>
  </si>
  <si>
    <t>R-CV-6388-11-2020</t>
  </si>
  <si>
    <t>RAUL STALIN DIAZ MONTOYA</t>
  </si>
  <si>
    <t>R-CV-6419-11-2020</t>
  </si>
  <si>
    <t>R-CV-6457-11-2020</t>
  </si>
  <si>
    <t>R-CV-6493-11-2020</t>
  </si>
  <si>
    <t>R - CV - 6599 - 12 - 2020</t>
  </si>
  <si>
    <t>RICARDO MAURICIO RODRIGUEZ ROBLES</t>
  </si>
  <si>
    <t>R - CV - 6660 - 12 - 2020</t>
  </si>
  <si>
    <t>R - CV - 6794 - 02 - 2021</t>
  </si>
  <si>
    <t>WILFREDO FUNEZ ALVAREZ</t>
  </si>
  <si>
    <t>R - CV - 6963 - 02 - 2021</t>
  </si>
  <si>
    <t>R - CV - 7485 - 04 - 2021</t>
  </si>
  <si>
    <t>R - CV - 7506 - 04 - 2021</t>
  </si>
  <si>
    <t>CONTRATO DE REASEGURO DE EXCESOS DE PÉRDIDA OPERATIVO DE VIDA 2021</t>
  </si>
  <si>
    <t>DEL 01 DE ENERO 2021 AL 31 DE DICIEMBRE 2021</t>
  </si>
  <si>
    <t>R - CV - 7072 - 03 - 2021</t>
  </si>
  <si>
    <t>CECIA LISSETH GUILLEN SABILLON</t>
  </si>
  <si>
    <t>R - CV - 6899 - 02 - 2021</t>
  </si>
  <si>
    <t>DONALDO MARTINEZ</t>
  </si>
  <si>
    <t>R - CV - 7221 - 04 - 2021</t>
  </si>
  <si>
    <t>EDAS ARNOLDO ORDOÑEZ MEJIA</t>
  </si>
  <si>
    <t>R - CV - 7437 - 04 - 2021</t>
  </si>
  <si>
    <t>R-CV-7528-05-2021</t>
  </si>
  <si>
    <t>FRANKLIN GIOVANNI RIVAS SANCHEZ</t>
  </si>
  <si>
    <t>R-CV-7562-05-2021</t>
  </si>
  <si>
    <t>R - CV - 7171 - 04 - 2021</t>
  </si>
  <si>
    <t>GERMAN JOSUE MENJIVAR RAJO</t>
  </si>
  <si>
    <t>R - CV - 6969 - 03 - 2021</t>
  </si>
  <si>
    <t>GUSTAVO ADOLFO LOPEZ AGUILAR</t>
  </si>
  <si>
    <t>R-CV-111-03-2021</t>
  </si>
  <si>
    <t>ISOLINA ORDOÑEZ</t>
  </si>
  <si>
    <t>R - CV - 7483 - 04 - 2021</t>
  </si>
  <si>
    <t>MARIA ESPERANZA PEÑA REYES</t>
  </si>
  <si>
    <t>R - CV - 7505 - 04 - 2021</t>
  </si>
  <si>
    <t>R - CV - 6936 - 03 - 2021</t>
  </si>
  <si>
    <t>MARLON DIDEY AGUILERA VALLADARES</t>
  </si>
  <si>
    <t>R - CV - 6890 - 02 - 2021</t>
  </si>
  <si>
    <t>R - CV - 7081 - 02 - 2021</t>
  </si>
  <si>
    <t>R - CV - 6994 - 03 - 2021</t>
  </si>
  <si>
    <t>NAHUM JOSUE MORAN MORAN</t>
  </si>
  <si>
    <t>R - CV - 7205 - 03 - 2021</t>
  </si>
  <si>
    <t>R - CV - 7559 - 05 - 2021</t>
  </si>
  <si>
    <t>SANTOS DIONICIO CRUZ</t>
  </si>
  <si>
    <t>R - CV - 6258 - 03 - 2021</t>
  </si>
  <si>
    <t>SAUL ARMANDO MIDENCE MARTINEZ</t>
  </si>
  <si>
    <t>R - CV - 6992 - 03 - 2021</t>
  </si>
  <si>
    <t>DM2 - HIPOGLICEMIA + HIPERTENSIÓN ARTERIAL</t>
  </si>
  <si>
    <t>CIRVOSIS HEPATICA MAS HIPERTENSIÓN PORTAL</t>
  </si>
  <si>
    <t>NEUMONIA POR BRONCO ASPIRACIÓN</t>
  </si>
  <si>
    <t>Suma de Monto pagado por Plan</t>
  </si>
  <si>
    <t>Prima Resultante</t>
  </si>
  <si>
    <t>R - CV - 7132 - 03 - 2021</t>
  </si>
  <si>
    <t>ADA LIDIA RIVAS ROCHA</t>
  </si>
  <si>
    <t>GRANULOMA PULMONAR DERECHO + DIABETES +ATEROSCLEROSIS AORTICA</t>
  </si>
  <si>
    <t>R - CV - 6464 - 11 - 2020</t>
  </si>
  <si>
    <t>R - CV - 6512 - 11 - 2020</t>
  </si>
  <si>
    <t>MARIO ALFONSO ESPINOZA PINTO</t>
  </si>
  <si>
    <t>R - CV - 6484 - 11 - 2020</t>
  </si>
  <si>
    <t>R - CV - 6528 - 11 - 2020</t>
  </si>
  <si>
    <t>R - CV - 151 - 12 - 2020</t>
  </si>
  <si>
    <t>R - CV - 8290 - 09 - 2021</t>
  </si>
  <si>
    <t>R - CV - 8492 - 09 - 2021</t>
  </si>
  <si>
    <t>RAFAEL LOPEZ TURCIOS</t>
  </si>
  <si>
    <t>LEUCEMIA LINFOBLASTICA CRONICA</t>
  </si>
  <si>
    <t>R - CV - 8090 - 08 - 2021</t>
  </si>
  <si>
    <t>PEDRO ANTONIO PEREZ</t>
  </si>
  <si>
    <t>R - CV - 8918 - 02 - 2022</t>
  </si>
  <si>
    <t>HECTOR ADOLFO SOLORZANO FONSECA</t>
  </si>
  <si>
    <t>NEUMONIA HOSPITALARIA</t>
  </si>
  <si>
    <t>R-CV-6472-11-2020</t>
  </si>
  <si>
    <t>MARIO STEVE HENRIQUEZ ESCOBAR</t>
  </si>
  <si>
    <t>R - CV - 6221 - 10 - 2020</t>
  </si>
  <si>
    <t>L.A.A.</t>
  </si>
  <si>
    <t>R - CV - 112 - 05 - 2021</t>
  </si>
  <si>
    <t>R - CV - 6012 - 05 - 2021</t>
  </si>
  <si>
    <t>R - CV - 7494 - 05 - 2021</t>
  </si>
  <si>
    <t>R - CV - 7513 - 05 - 2021</t>
  </si>
  <si>
    <t>ALBERT ALEXANDER GRANT CASTRO</t>
  </si>
  <si>
    <t>NEUMONIA POR COVID 19</t>
  </si>
  <si>
    <t>R - SS - 66 - 08 - 2021</t>
  </si>
  <si>
    <t>R - CV - 185 - 08 - 2021</t>
  </si>
  <si>
    <t>R - CV - 8115 - 08 - 2021</t>
  </si>
  <si>
    <t>R - CV - 8293 - 08 - 2021</t>
  </si>
  <si>
    <t>ALEX NAHUN MOLINA OLIVA</t>
  </si>
  <si>
    <t>HEMORRAGIA CEREBRAL INTRAENCEFFALICA</t>
  </si>
  <si>
    <t>R - CV - 190 - 09 - 2021</t>
  </si>
  <si>
    <t>ALEXANDER FLORES CRUZ</t>
  </si>
  <si>
    <t>R - CV - 8142 - 08 - 2021</t>
  </si>
  <si>
    <t>BERTA ALICIA MATA ARCE</t>
  </si>
  <si>
    <t>NEUMONIA BILATERAL POR COVID-19</t>
  </si>
  <si>
    <t>R - CV - 8307 - 08 - 2021</t>
  </si>
  <si>
    <t>R - CV - 7673 - 05 - 2021</t>
  </si>
  <si>
    <t>R - CV - 7872 - 07 - 2021</t>
  </si>
  <si>
    <t>CANCER PELVICO</t>
  </si>
  <si>
    <t>R - CV - 8124 - 08 - 2021</t>
  </si>
  <si>
    <t>CELSA MARINA PONCE ZUNIGA</t>
  </si>
  <si>
    <t>NEUMONIA GRAVE POR SARS COV-2</t>
  </si>
  <si>
    <t>R - CV - 184 - 08 - 2021</t>
  </si>
  <si>
    <t>R - CV - 6148 - 08 - 2021</t>
  </si>
  <si>
    <t>R - CV - 8222 - 08 - 2021</t>
  </si>
  <si>
    <t>EDGARDO MURILLO CASTILLO</t>
  </si>
  <si>
    <t>NEUMONIA GRAVE POR SARS-COV2</t>
  </si>
  <si>
    <t>R - CV - 8093 - 08 - 2021</t>
  </si>
  <si>
    <t>R-CV-7515-05-2021</t>
  </si>
  <si>
    <t>R-CV-7544-05-2021</t>
  </si>
  <si>
    <t>ELICEO HERNANDEZ</t>
  </si>
  <si>
    <t>NEUMONIA POR SOSPECHA DE SARS COV-2</t>
  </si>
  <si>
    <t>R-CV-7641-05-2021</t>
  </si>
  <si>
    <t>R-CV-7594-05-2021</t>
  </si>
  <si>
    <t>R - CV - 7499 - 04 - 2021</t>
  </si>
  <si>
    <t>R - CV - 7630 - 05 - 2021</t>
  </si>
  <si>
    <t>HUGO ROQUE POLANCO CARRANZA</t>
  </si>
  <si>
    <t>R - CV - 8134 - 07 - 2021</t>
  </si>
  <si>
    <t>R - CV - 8381 - 10 - 2021</t>
  </si>
  <si>
    <t>R - CV - 8619 - 10 - 2021</t>
  </si>
  <si>
    <t>JORGE ENRIQUE AGUILAR ORTIZ</t>
  </si>
  <si>
    <t>R - CV - 8106 - 08 - 2021</t>
  </si>
  <si>
    <t>R - CV - 8053 - 08 - 2021</t>
  </si>
  <si>
    <t>R - CV - 8189 - 08 - 2021</t>
  </si>
  <si>
    <t>JOSE ABRAHAN GUZMAN MEZA</t>
  </si>
  <si>
    <t>ACCIDENTE CEREBROVASCULAR ISQUEMICO</t>
  </si>
  <si>
    <t>R - CV - 6773 - 01 - 2021</t>
  </si>
  <si>
    <t>R - CV - 6924 - 01 - 2021</t>
  </si>
  <si>
    <t>JUAN CARLOS CASTELLANOS REYES</t>
  </si>
  <si>
    <t>NEUMONIA GRAVE</t>
  </si>
  <si>
    <t>R-CV-7538-05-2021</t>
  </si>
  <si>
    <t>R-CV-7577-05-2021</t>
  </si>
  <si>
    <t>LUIS ANTONIO VELASQUEZ GIRON</t>
  </si>
  <si>
    <t>CHOQUE HEMORRÁGICO</t>
  </si>
  <si>
    <t>CHOQUE HEMORRAGICO</t>
  </si>
  <si>
    <t>R-CV-6293-05-2021</t>
  </si>
  <si>
    <t>R-CV-7572-05-2021</t>
  </si>
  <si>
    <t>R-CV-7574-05-2021</t>
  </si>
  <si>
    <t>LUIS TIRZO SANCHEZ DESTEPHEN</t>
  </si>
  <si>
    <t>R - CV - 8040 - 08 - 2021</t>
  </si>
  <si>
    <t>R - CV - 8176 - 08 - 2021</t>
  </si>
  <si>
    <t>MANUEL BONILLA GOMEZ</t>
  </si>
  <si>
    <t>INFARTO FULMINANTE</t>
  </si>
  <si>
    <t>R - CV - 6406 - 08 - 2021</t>
  </si>
  <si>
    <t>R - CV - 8079 - 08 - 2021</t>
  </si>
  <si>
    <t>MARIA DE LA PAZ CANTARERO</t>
  </si>
  <si>
    <t>NEUMONIA POR SARS COV2</t>
  </si>
  <si>
    <t>R - CV - 178 - 07 - 2021</t>
  </si>
  <si>
    <t>R - CV - 191 - 10 - 2021</t>
  </si>
  <si>
    <t>R - CV - 193 - 10 - 2021</t>
  </si>
  <si>
    <t>R - CV - 6215 - 10 - 2021</t>
  </si>
  <si>
    <t>R - CV - 8578 - 10 - 2021</t>
  </si>
  <si>
    <t>MARIO RENE SANTOS HERRERA</t>
  </si>
  <si>
    <t>FIBROSIS PULMONAR SECUNDARIA A NEUMONIA GRAVE POR SARS-COV2</t>
  </si>
  <si>
    <t>R - CV - 8607 - 11 - 2021</t>
  </si>
  <si>
    <t>R - CV - 8885 - 11 - 2021</t>
  </si>
  <si>
    <t>MICAELA OSORIO PAZ</t>
  </si>
  <si>
    <t>COVID-19 CONFIRMADO</t>
  </si>
  <si>
    <t>R - CV - 8220 - 09 - 2021</t>
  </si>
  <si>
    <t>MIGUEL ANGEL ALVARADO RODRIGUEZ</t>
  </si>
  <si>
    <t>R - CV - 6044 - 06 - 2021</t>
  </si>
  <si>
    <t>R - CV - 7680 - 06 - 2021</t>
  </si>
  <si>
    <t>R - CV - 7763 - 06 - 2021</t>
  </si>
  <si>
    <t>MOISES ANDALI MONROY ROSA</t>
  </si>
  <si>
    <t>NEUMONIA GRAVE POR COVID-19</t>
  </si>
  <si>
    <t>NEUMONIA GRAVE POR COVID -19</t>
  </si>
  <si>
    <t>R - CV - 6405 - 08 - 2021</t>
  </si>
  <si>
    <t>R - CV - 8076 - 08 - 2021</t>
  </si>
  <si>
    <t>NAPOLEON HERNANDEZ</t>
  </si>
  <si>
    <t>R - CV - 8545 - 11 - 2021</t>
  </si>
  <si>
    <t>R - CV - 8791 - 11 - 2021</t>
  </si>
  <si>
    <t>R - CV - 6288 - 12 - 2021</t>
  </si>
  <si>
    <t>R - CV - 6308 - 12 - 2021</t>
  </si>
  <si>
    <t>R - CV - 8910 - 12 - 2021</t>
  </si>
  <si>
    <t>REINA ISABEL AUXUME DIAZ</t>
  </si>
  <si>
    <t>R - CV - 8034 - 08 - 2021</t>
  </si>
  <si>
    <t>R - CV - 8158 - 08 - 2021</t>
  </si>
  <si>
    <t>REYNA ISABEL AGUILAR</t>
  </si>
  <si>
    <t>R - CV - 7922 - 07 - 2021</t>
  </si>
  <si>
    <t>R - CV - 8053 - 07 - 2021</t>
  </si>
  <si>
    <t>NEUMONIA POR SARS-COVD2</t>
  </si>
  <si>
    <t>R-CV-7609-05-2021</t>
  </si>
  <si>
    <t>R-CV-7667-05-2021</t>
  </si>
  <si>
    <t>VICTOR PEREZ RODAS</t>
  </si>
  <si>
    <t>R - CV - 7791 - 07 - 2021</t>
  </si>
  <si>
    <t>R - CV - 7876 - 07 - 2021</t>
  </si>
  <si>
    <t>WALTER BACILA MALDONADO</t>
  </si>
  <si>
    <t>R - CV - 7012 - 03 - 2021</t>
  </si>
  <si>
    <t>MARIO ALBERTO CENTENO CACERES</t>
  </si>
  <si>
    <t>R-CV-4134-09-2019</t>
  </si>
  <si>
    <t>R - CV - 6506 - 12 - 2020</t>
  </si>
  <si>
    <t>R - CV - 6586 - 12 - 2020</t>
  </si>
  <si>
    <t>CARLOS HUMBERTO LOPEZ AVELAR</t>
  </si>
  <si>
    <t>TROMBOEMBOLIA PULMONAR MASIVA</t>
  </si>
  <si>
    <t>R - CV - 1819 - 09 - 2020</t>
  </si>
  <si>
    <t>R - CV - 6039 - 09 - 2020</t>
  </si>
  <si>
    <t>MAYS ENEDELIA FUGON AGUIRRE</t>
  </si>
  <si>
    <t>R - CV - 8379 - 10 - 2021</t>
  </si>
  <si>
    <t>R - CV - 8617 - 10 - 2021</t>
  </si>
  <si>
    <t>LEIBNIZ FAURICIO PHILLIPS BONILLA</t>
  </si>
  <si>
    <t>NADIA JASMINA SANDOVAL GONZALEZ</t>
  </si>
  <si>
    <t>GUILLERMO AMANCIO ORDOÑEZ MENDOZA</t>
  </si>
  <si>
    <t>DENIS OMAR CRUZ CARIAS</t>
  </si>
  <si>
    <t>R - CV - 8630 - 12 - 2021</t>
  </si>
  <si>
    <t>R - CV - 8928 - 12 - 2021</t>
  </si>
  <si>
    <t>DANIEL ECHEVERRIA REYES</t>
  </si>
  <si>
    <t>R - CV - 201 - 09 - 2021</t>
  </si>
  <si>
    <t>R - CV - 6212 - 09 - 2021</t>
  </si>
  <si>
    <t>R - CV - 8253 - 09 - 2021</t>
  </si>
  <si>
    <t>R - CV - 8334 - 09 - 2021</t>
  </si>
  <si>
    <t>R - CV - 8439 - 09 - 2021</t>
  </si>
  <si>
    <t>R - CV - 8566 - 09 - 2021</t>
  </si>
  <si>
    <t>LUIS ORLANDO LOPEZ FUNEZ</t>
  </si>
  <si>
    <t>INSUFICIENCIA RESPIRATORIA POR SARS COV-2</t>
  </si>
  <si>
    <t>R - CV - 8832 - 01 - 2022</t>
  </si>
  <si>
    <t>R - CV - 9147 - 01 - 2022</t>
  </si>
  <si>
    <t>OSCAR LIZANDRO SALGADO</t>
  </si>
  <si>
    <t>R - CV - 199 - 12 - 2021</t>
  </si>
  <si>
    <t>PATRICIA JANETH TABORA OLIVA</t>
  </si>
  <si>
    <t>CANCER DE PULMON METASTASICO</t>
  </si>
  <si>
    <t>R - CV - 202 - 01 - 2022</t>
  </si>
  <si>
    <t>R - CV - 6543 - 01 - 2022</t>
  </si>
  <si>
    <t>R - CV - 8855 - 01 - 2022</t>
  </si>
  <si>
    <t>ALEX RENAN MARQUEZ DIAZ</t>
  </si>
  <si>
    <t>CHOQUE CARDIOGENICO Y PARADA CARDIACA</t>
  </si>
  <si>
    <t>R - CV - 8102 - 08 - 2021</t>
  </si>
  <si>
    <t>FRANCISCO MARTINEZ HERNANDEZ</t>
  </si>
  <si>
    <t>R - CV - 6571 - 03 - 2022</t>
  </si>
  <si>
    <t>R - CV - 9116 - 03 - 2022</t>
  </si>
  <si>
    <t>MARIA VICTORIA ORTIZ ROMERO</t>
  </si>
  <si>
    <t>R - CV - 212 - 06 - 2022</t>
  </si>
  <si>
    <t>ELIAS SALOMON CARBAJAL AGUILAR</t>
  </si>
  <si>
    <t xml:space="preserve">ACCIDENTE </t>
  </si>
  <si>
    <t>R - CV - 9407 - 06 - 2022</t>
  </si>
  <si>
    <t>R - CV - 9408 - 06 - 2022</t>
  </si>
  <si>
    <t>R - CV - 9108 - 03 - 2022</t>
  </si>
  <si>
    <t>R - CV - 9424 - 03 - 2022</t>
  </si>
  <si>
    <t>DENIS ENRIQUE MIRANDA REYES</t>
  </si>
  <si>
    <t>R - CV - 6457 - 06 - 2022</t>
  </si>
  <si>
    <t>R - CV - 9383 - 06 - 2022</t>
  </si>
  <si>
    <t>R - CV - 9710 - 06 - 2022</t>
  </si>
  <si>
    <t>CARLOS ALBERTO OCHOA ANDRADE</t>
  </si>
  <si>
    <t>DOUGLAS OSVALDO URRUTIA FUNES</t>
  </si>
  <si>
    <t>LIDIA ELIZABETH VASQUEZ GALDAMEZ</t>
  </si>
  <si>
    <t>JUAN MIGUEL SANTOS ALVAREZ</t>
  </si>
  <si>
    <t>LUIS ARTURO SALAZAR LANDAVERRY</t>
  </si>
  <si>
    <t>MIGUEL ANGUEL GONZALEZ MOLINA</t>
  </si>
  <si>
    <t>JULIO CESAR SANTOS ESPINAL</t>
  </si>
  <si>
    <t>EMILIO MENDOZA DUBON</t>
  </si>
  <si>
    <t>LURBIN ROSIBEL ZAMBRANO CHEVEZ</t>
  </si>
  <si>
    <t>MARIO DAVID OSORIO ALVAREZ</t>
  </si>
  <si>
    <t>MARIO OSWALDO FERRERA VALLE</t>
  </si>
  <si>
    <t>RAMON ANTONIO MEJIA ENAMORADO</t>
  </si>
  <si>
    <t>SEPSIS FOCO ENTRADA PIEL</t>
  </si>
  <si>
    <t>PARO RESPIRATORIO</t>
  </si>
  <si>
    <t>ADENOCARCINOMA DE COLON</t>
  </si>
  <si>
    <t>EVENTO CEREBRO VASCULAR ISQUEMICO</t>
  </si>
  <si>
    <t>CONTRATO DE REASEGURO DE EXCESOS DE PÉRDIDA OPERATIVO DE VIDA 2022</t>
  </si>
  <si>
    <t>DEL 01 DE SEPTIEMBRE 2021 AL 31 DE DICIEMBRE 2022</t>
  </si>
  <si>
    <t>AÑO 2021</t>
  </si>
  <si>
    <t>AÑO 2022</t>
  </si>
  <si>
    <t>3% - 8.69%</t>
  </si>
  <si>
    <t>5.25% - 16.25%</t>
  </si>
  <si>
    <t>Pendiente de Pago</t>
  </si>
  <si>
    <t>R - CV - 6460 - 11 - 2020</t>
  </si>
  <si>
    <t>R - CV - 6502 - 11 - 2020</t>
  </si>
  <si>
    <t>JUAN NECTALI DUARTE MORALES</t>
  </si>
  <si>
    <t>R-CV-8977-02-2022</t>
  </si>
  <si>
    <t>R-CV-9286-02-2022</t>
  </si>
  <si>
    <t>R-CV-9005-02-2022</t>
  </si>
  <si>
    <t>R-CV-9306-02-2022</t>
  </si>
  <si>
    <t>JESUS EDUARDO ANARIBA VARGAS</t>
  </si>
  <si>
    <t>R - CV - 8640 - 12 - 2021</t>
  </si>
  <si>
    <t>R - CV - 8937 - 12 - 2021</t>
  </si>
  <si>
    <t>JOSE LUIS ZEPEDA MONCADA</t>
  </si>
  <si>
    <t>R - CV - 8800 - 01 - 2022</t>
  </si>
  <si>
    <t>ROLVIN CRISTOBAL FIGUEROA CHAVEZ</t>
  </si>
  <si>
    <t>R - CV - 8241 - 09 - 2021</t>
  </si>
  <si>
    <t>R - CV - 8426 - 09 - 2021</t>
  </si>
  <si>
    <t>R - CV - 7744 - 06 - 2021</t>
  </si>
  <si>
    <t>R - CV - 7591 - 05 - 2021</t>
  </si>
  <si>
    <t>R-CV-175-06-2021</t>
  </si>
  <si>
    <t>R - CV - 7856 - 07 - 2021</t>
  </si>
  <si>
    <t>R - CV - 8308 - 09 - 2021</t>
  </si>
  <si>
    <t>R - CV - 8459 - 10 - 2021</t>
  </si>
  <si>
    <t>R - CV - 8694 - 10 - 2021</t>
  </si>
  <si>
    <t>VICTOR RAMON CARCAMO VALLADARES</t>
  </si>
  <si>
    <t>NESTOR JOEL SANDOVAL MARQUINA</t>
  </si>
  <si>
    <t>ROLANDO ANTONIO BARAHONA RODRIGUEZ</t>
  </si>
  <si>
    <t>ALLAN EDGARDO SANDRES RIVERA</t>
  </si>
  <si>
    <t>ADENO CARCINOMA GASTRICO METASTASICO</t>
  </si>
  <si>
    <t>R-CV-9403-06-2022</t>
  </si>
  <si>
    <t>DELMIS MARINA LAINEZ GARCIA</t>
  </si>
  <si>
    <t>R-CV-9586-05-2022</t>
  </si>
  <si>
    <t>R-CV-9338-06-2022</t>
  </si>
  <si>
    <t>R-CV-9657-06-2022</t>
  </si>
  <si>
    <t>R-CV-9634-08-2022</t>
  </si>
  <si>
    <t>FRANCISCO ESCOBAR AYALA</t>
  </si>
  <si>
    <t>R-CV-9989-08-2022</t>
  </si>
  <si>
    <t>FREDI ALEXANDER VILLALTA</t>
  </si>
  <si>
    <t>MUERTE ACCIDENTAL.</t>
  </si>
  <si>
    <t>GLORIA ARGENTINA CASTRO ALVARADO</t>
  </si>
  <si>
    <t>R-CV-9733-09-2022</t>
  </si>
  <si>
    <t>JUAN RAMON VILLALVIR ANDURAY</t>
  </si>
  <si>
    <t>PAUL ALBERTO ROSALES FONSECA</t>
  </si>
  <si>
    <t xml:space="preserve">WILMER ELIEZER FUENTES PEREZ </t>
  </si>
  <si>
    <t>PANCREATITIS AGUDA SEVERA</t>
  </si>
  <si>
    <t>R-CV-6556-10-2022</t>
  </si>
  <si>
    <t>ZULEMA EMILIA SANCHEZ DEMPSTER</t>
  </si>
  <si>
    <t>CIRROSIS CHILD PUGH</t>
  </si>
  <si>
    <t>R-CV-9840-10-2022</t>
  </si>
  <si>
    <t>R-CV-164205-10-2022</t>
  </si>
  <si>
    <t>ACTUALIZAR</t>
  </si>
  <si>
    <t>AÑO 2023</t>
  </si>
  <si>
    <t>3.50% - 9.50%</t>
  </si>
  <si>
    <t>HEMORRAGIA CEREBRAL INTRAENCEFALICA</t>
  </si>
  <si>
    <t>R-CV-202-01-2022</t>
  </si>
  <si>
    <t>R-CV-8855-01-2022</t>
  </si>
  <si>
    <t>R-CV-6543-01-2022</t>
  </si>
  <si>
    <t>R-CV-6528-08-2022</t>
  </si>
  <si>
    <t>R-CV-9654-08-2022</t>
  </si>
  <si>
    <t>R-CV-10015-08-2022</t>
  </si>
  <si>
    <t>R-CV-9033-03-2021</t>
  </si>
  <si>
    <t>R-CV-9327-03-2021</t>
  </si>
  <si>
    <t>R-CV-9571-08-2022</t>
  </si>
  <si>
    <t>R-CV-9539-07-2022</t>
  </si>
  <si>
    <t>R-CV-9887-07-2022</t>
  </si>
  <si>
    <t>R-CV-8630-12-2021</t>
  </si>
  <si>
    <t>R-CV-8928-12-2021</t>
  </si>
  <si>
    <t>R-CV-9407-06-2022</t>
  </si>
  <si>
    <t>R-CV-9408-06-2022</t>
  </si>
  <si>
    <t>R-CV-9108-03-2022</t>
  </si>
  <si>
    <t>R-CV-9424-03-2022</t>
  </si>
  <si>
    <t>R-CV-9416-06-2022</t>
  </si>
  <si>
    <t>R-CV-6520-08-2022</t>
  </si>
  <si>
    <t>R-CV-10003-08-2022</t>
  </si>
  <si>
    <t>R-CV-9045-03-2022</t>
  </si>
  <si>
    <t>R-CV-9347-03-2022</t>
  </si>
  <si>
    <t>R-BS-298-11-2022</t>
  </si>
  <si>
    <t>R-CV-211-12-2022</t>
  </si>
  <si>
    <t>R-CV-6595-12-2022</t>
  </si>
  <si>
    <t>R-CV-10076-12-2022</t>
  </si>
  <si>
    <t>R-CV-10411-12-2022</t>
  </si>
  <si>
    <t>R-CV-10092-01-2023</t>
  </si>
  <si>
    <t>R-CV-212-06-2022</t>
  </si>
  <si>
    <t>R-CV-9401-06-2022</t>
  </si>
  <si>
    <t>R-CV-9295-05-2022</t>
  </si>
  <si>
    <t>R-CV-9575-05-2022</t>
  </si>
  <si>
    <t>R-CV-9641-08-2022</t>
  </si>
  <si>
    <t>R-CV-10008-08-2022</t>
  </si>
  <si>
    <t>R-CV-6421-09-2022</t>
  </si>
  <si>
    <t>R-CV-9947-11-2022</t>
  </si>
  <si>
    <t>R - CV - 10395 - 12 - 2022</t>
  </si>
  <si>
    <t>R-CV-9374-06-2022</t>
  </si>
  <si>
    <t>R-CV-9703-06-2022</t>
  </si>
  <si>
    <t>R-CV-10084-12-2022</t>
  </si>
  <si>
    <t>R-CV-6390-03-2022</t>
  </si>
  <si>
    <t>R-CV-6559-03-2022</t>
  </si>
  <si>
    <t>R-CV-9072-03-2021</t>
  </si>
  <si>
    <t>R-CV-9345-06-2022</t>
  </si>
  <si>
    <t>R-CV-10116-01-2023</t>
  </si>
  <si>
    <t>R-CV-10434-01-2023</t>
  </si>
  <si>
    <t>R-CV-9968-11-2022</t>
  </si>
  <si>
    <t>R-CV-10269-11-2022</t>
  </si>
  <si>
    <t>R - CV - 216 - 09 - 2022</t>
  </si>
  <si>
    <t>R-CV-223-01-2023</t>
  </si>
  <si>
    <t>R-CV-6606-01-2023</t>
  </si>
  <si>
    <t>R-CV-10190-01-2023</t>
  </si>
  <si>
    <t>R-CV-10490-01-2023</t>
  </si>
  <si>
    <t>R-CV-9112-03-2021</t>
  </si>
  <si>
    <t>R-CV-9428-03-2021</t>
  </si>
  <si>
    <t>R-CV-217-09-2022</t>
  </si>
  <si>
    <t>R-CV-9025-03-2021</t>
  </si>
  <si>
    <t>R-CV-9312-03-2021</t>
  </si>
  <si>
    <t>R-CV-9135-04-2022</t>
  </si>
  <si>
    <t>R-CV-9462-04-2022</t>
  </si>
  <si>
    <t>R-CV-205-02-2022</t>
  </si>
  <si>
    <t>R-CV-207-02-2022</t>
  </si>
  <si>
    <t>R-CV-8898-02-2022</t>
  </si>
  <si>
    <t>R-CV-9247-02-2022</t>
  </si>
  <si>
    <t>R-CV-9361-03-2022</t>
  </si>
  <si>
    <t>R-CV-124-04-2022</t>
  </si>
  <si>
    <t>R-CV-9121-04-2022</t>
  </si>
  <si>
    <t>R-CV-6571-03-2021</t>
  </si>
  <si>
    <t>R-CV-9116-03-2021</t>
  </si>
  <si>
    <t>R-CV-9336-06-2022</t>
  </si>
  <si>
    <t>R-CV-9653-06-2022</t>
  </si>
  <si>
    <t>R-CV-9379-06-2022</t>
  </si>
  <si>
    <t>R-CV-9708-06-2022</t>
  </si>
  <si>
    <t>R-CV-9572-08-2022</t>
  </si>
  <si>
    <t>R-CV-9763-09-2022</t>
  </si>
  <si>
    <t>R-CV-10104-09-2022</t>
  </si>
  <si>
    <t>R-CV-9989-11-2022</t>
  </si>
  <si>
    <t>R-CV-9990-11-2022</t>
  </si>
  <si>
    <t>R-CV-9907-11-2022</t>
  </si>
  <si>
    <t>R-CV-6568-03-2022</t>
  </si>
  <si>
    <t>R-CV-9115-03-2021</t>
  </si>
  <si>
    <t>R-CV-9286-05-2021</t>
  </si>
  <si>
    <t>R-CV-6455-06-2022</t>
  </si>
  <si>
    <t>R-CV-9372-06-2022</t>
  </si>
  <si>
    <t>R-CV-9699-06-2022</t>
  </si>
  <si>
    <t>R-CV-207-07-2022</t>
  </si>
  <si>
    <t>R-CV-6479-07-2022</t>
  </si>
  <si>
    <t>R-CV-9470-07-2022</t>
  </si>
  <si>
    <t>R-CV-9839-07-2022</t>
  </si>
  <si>
    <t>R-CV-8832-01-2022</t>
  </si>
  <si>
    <t>R-CV-9147-01-2022</t>
  </si>
  <si>
    <t>R - CV - 221 - 11 - 2022</t>
  </si>
  <si>
    <t>R - CV - 9955 - 11 - 2022</t>
  </si>
  <si>
    <t>R - CV - 10251 - 11 - 2022</t>
  </si>
  <si>
    <t>R-CV-199-12-2021</t>
  </si>
  <si>
    <t>R-CV-9675-09-2022</t>
  </si>
  <si>
    <t>R-CV-10032-09-2022</t>
  </si>
  <si>
    <t>R-CV-6435-05-2022</t>
  </si>
  <si>
    <t>R-CV-9305-05-2022</t>
  </si>
  <si>
    <t>R-CV-9592-05-2022</t>
  </si>
  <si>
    <t>R - CV - 10243 - 02 - 2023</t>
  </si>
  <si>
    <t>R - CV - 10537 - 02 - 2023</t>
  </si>
  <si>
    <t>R-CV-9873-11-2022</t>
  </si>
  <si>
    <t>R - CV - 9114 - 03 - 2022</t>
  </si>
  <si>
    <t>R - CV - 9430 - 03 - 2022</t>
  </si>
  <si>
    <t>R-CV-9198-04-2021</t>
  </si>
  <si>
    <t>R-CV-9502-04-2021</t>
  </si>
  <si>
    <t>R-CV-6576-05-2021</t>
  </si>
  <si>
    <t>R-CV-9245-05-2021</t>
  </si>
  <si>
    <t>R-CV-206-06-2022</t>
  </si>
  <si>
    <t>R-CV-9328-06-2022</t>
  </si>
  <si>
    <t>R-CV-9640-06-2022</t>
  </si>
  <si>
    <t>R-CV-10251-02-2023</t>
  </si>
  <si>
    <t>R-CV-164252-02-2023</t>
  </si>
  <si>
    <t>CELSO BERRIOS BORJAS</t>
  </si>
  <si>
    <t>EDWIN ROBERTO REYES</t>
  </si>
  <si>
    <t>FREDY ORLANDO MOLINA CARIAS</t>
  </si>
  <si>
    <t>GREBIL ALFREDO ROMERO CASTILLO</t>
  </si>
  <si>
    <t>COLANGIOCARCINOMA</t>
  </si>
  <si>
    <t>ISMAEL ESAU ZAMBRANO</t>
  </si>
  <si>
    <t>SUICIDIO</t>
  </si>
  <si>
    <t>JOSE MARIA VILLAFRANCA NUÑEZ</t>
  </si>
  <si>
    <t>ADENOCARCINOMA PULMONAR</t>
  </si>
  <si>
    <t>JOSE RICARDO AGUILERA DURON</t>
  </si>
  <si>
    <t>MATIAS REYES ARZU</t>
  </si>
  <si>
    <t>ENDOCARDITIS INFECCIOSA + DOBLE LESION AORTICA</t>
  </si>
  <si>
    <t>MAURO FRANCISCO SUAZO RIVERA</t>
  </si>
  <si>
    <t>SECUELAS DE TRAUMA RAQUIMEDULAR</t>
  </si>
  <si>
    <t>OSCAR YOVANI ALVARADO NORIEGA</t>
  </si>
  <si>
    <t>REINA MARGARITA SANTOS PEREZ</t>
  </si>
  <si>
    <t>SHOCK HIPOVOLEMICO + SINDROME ANEMICO</t>
  </si>
  <si>
    <t>WILMER ALEXIS PORTILLO ENAMORADO</t>
  </si>
  <si>
    <t>Prima M&amp;D SEP 2021 - DIC 2022</t>
  </si>
  <si>
    <t>Prima Resultante (-) Prima M&amp;D</t>
  </si>
  <si>
    <t>R - CV - 6522 - 04 - 2023</t>
  </si>
  <si>
    <t>R - CV - 6558 - 07 - 2023</t>
  </si>
  <si>
    <t>ALEXIS SERAFIN GIRON TORRES</t>
  </si>
  <si>
    <t>EDEMA PULMONAR</t>
  </si>
  <si>
    <t>R-BS-299-12-2022</t>
  </si>
  <si>
    <t>R-CV-10996-07-2023</t>
  </si>
  <si>
    <t>R-CV-11037-07-2023</t>
  </si>
  <si>
    <t>DINORAH JOSELINA PEREZ CRUZ</t>
  </si>
  <si>
    <t>R-CV-10607-03-2023</t>
  </si>
  <si>
    <t>R-CV-10608-03-2023</t>
  </si>
  <si>
    <t>R-CV-10619-03-2023</t>
  </si>
  <si>
    <t>R-CV-10635-03-2023</t>
  </si>
  <si>
    <t>R-CV-164260-03-2023</t>
  </si>
  <si>
    <t>ELDA ESPERANZA CRUZ GUEVARA</t>
  </si>
  <si>
    <t>R - CV - 10825 - 05 - 2023</t>
  </si>
  <si>
    <t>R - CV - 10838 - 05 - 2023</t>
  </si>
  <si>
    <t>LUIS HERNAN LARA VALDIVIEZO</t>
  </si>
  <si>
    <t>R-CV-10786-05-2023</t>
  </si>
  <si>
    <t>R-CV-10787-05-2023</t>
  </si>
  <si>
    <t>R-CV-164294-05-2023</t>
  </si>
  <si>
    <t>LUZ MARIA SAN MARTIN PADILLA</t>
  </si>
  <si>
    <t>HIPERTENSION</t>
  </si>
  <si>
    <t>R-CV-9910-11-2022</t>
  </si>
  <si>
    <t>R-CV-10229-11-2022</t>
  </si>
  <si>
    <t>ZONIA MARINA GALDAMEZ GONZALES</t>
  </si>
  <si>
    <t>R-CV-6441-10-2022</t>
  </si>
  <si>
    <t>DEL 01 DE ENERO 2023 AL 31 DE DICIEMBRE 2023</t>
  </si>
  <si>
    <t>Prima M&amp;D 2023</t>
  </si>
  <si>
    <t>R-CV-10922-06-2023</t>
  </si>
  <si>
    <t>ARNULFO SUAZO HERNANDEZ</t>
  </si>
  <si>
    <t>SINDROME LINFOPROLIFERATIVO</t>
  </si>
  <si>
    <t>R-CV-10923-06-2023</t>
  </si>
  <si>
    <t>R - CV - 10872 - 06 - 2023</t>
  </si>
  <si>
    <t>R - CV - 10904 - 06 - 2023</t>
  </si>
  <si>
    <t>R-CV-11192-09-2023</t>
  </si>
  <si>
    <t>AURA ESTHER NAVAS ALVARADO</t>
  </si>
  <si>
    <t>R-CV-11232-09-2023</t>
  </si>
  <si>
    <t>R-CV-10997-07-2023</t>
  </si>
  <si>
    <t>CARLOS ENRIQUE CHINCHILLA AGUILAR</t>
  </si>
  <si>
    <t>R-CV-11038-07-2023</t>
  </si>
  <si>
    <t>R-CV-11067-08-2023</t>
  </si>
  <si>
    <t>R-CV-11095-08-2023</t>
  </si>
  <si>
    <t>R-CV-6687-08-2023</t>
  </si>
  <si>
    <t>DIELMAN GUEVARA HERRERA</t>
  </si>
  <si>
    <t>R-CV-11132-08-2023</t>
  </si>
  <si>
    <t>R-CV-164348-08-2023</t>
  </si>
  <si>
    <t>ELDI ROSARIO ORTIZ SIERRA</t>
  </si>
  <si>
    <t>R - CV - 10957 - 07 - 2023</t>
  </si>
  <si>
    <t>GABRIEL HERNANDEZ PINTO</t>
  </si>
  <si>
    <t>DIABETES MELLITUS TIPO II + INSUFICIENCIA RENAL</t>
  </si>
  <si>
    <t>R - CV - 10972 - 07 - 2023</t>
  </si>
  <si>
    <t>R-CV-10832-05-2023</t>
  </si>
  <si>
    <t>HENRRY ALEXIS GARCIA ZELAYA</t>
  </si>
  <si>
    <t>R-CV-10855-05-2023</t>
  </si>
  <si>
    <t>R - CV - 6515 - 04 - 2023</t>
  </si>
  <si>
    <t>R - CV - 10757 - 04 - 2023</t>
  </si>
  <si>
    <t>R-CV-10759-04-2023</t>
  </si>
  <si>
    <t>ISAIA AGUILAR PEÑA</t>
  </si>
  <si>
    <t>CANCER DE COLON METASTASICO</t>
  </si>
  <si>
    <t>R - CV - 10794 - 05 - 2023</t>
  </si>
  <si>
    <t>JORGE ALBERTO SALGUERO BARRERA</t>
  </si>
  <si>
    <t>R - CV - 10802 - 05 - 2023</t>
  </si>
  <si>
    <t>R-CV-10903-06-2023</t>
  </si>
  <si>
    <t>KERIN OMAR ALVARADO HERNANDEZ</t>
  </si>
  <si>
    <t>R-CV-10921-06-2023</t>
  </si>
  <si>
    <t>R-CV-10945-06-2023</t>
  </si>
  <si>
    <t>R-CV-164317-06-2023</t>
  </si>
  <si>
    <t>LUIS ALONSO BANEGAS AVILA</t>
  </si>
  <si>
    <t>R - CV - 10745 - 04 - 2023</t>
  </si>
  <si>
    <t>R - CV - 229 - 04 - 2023</t>
  </si>
  <si>
    <t>LUIS EDUARDO GODOY GUERRA</t>
  </si>
  <si>
    <t>ADENOCARCINOMA GASTRICO METASTASICO</t>
  </si>
  <si>
    <t>R - CV - 230 - 04 - 2023</t>
  </si>
  <si>
    <t>R - CV - 10740 - 04 - 2023</t>
  </si>
  <si>
    <t>R-CV-10662-03-2023</t>
  </si>
  <si>
    <t>OLIMPIA JACQUELINE SORIANO GUTIERREZ</t>
  </si>
  <si>
    <t>CHOQUE CARDIOGENICO</t>
  </si>
  <si>
    <t>R-CV-164281-03-2023</t>
  </si>
  <si>
    <t>R-CV-10674-04-2023</t>
  </si>
  <si>
    <t>R-CV-10690-04-2023</t>
  </si>
  <si>
    <t>R-CV-10806-05-2023</t>
  </si>
  <si>
    <t>R-CV-164300-05-2023</t>
  </si>
  <si>
    <t>SANDRA EMILIA MUÑOZ REYES</t>
  </si>
  <si>
    <t>HIPOTIROIDISMO + HIPERTENSION ARTERIAL</t>
  </si>
  <si>
    <t>R-CV-10932-06-2023</t>
  </si>
  <si>
    <t>R-CV-164326-06-2023</t>
  </si>
  <si>
    <t>R-CV-10956-07-2023</t>
  </si>
  <si>
    <t>R - CV - 10873 - 06 - 2023</t>
  </si>
  <si>
    <t>JESUS EFRAIN CONTRERAS MEJIA</t>
  </si>
  <si>
    <t>PLEXOPATIA BRAQUIAL DERECHA CON LIMITACION FUNCIONAL Y DOLOR SEVERO</t>
  </si>
  <si>
    <t>Saldo a favor de los Reaseguradaores</t>
  </si>
  <si>
    <t>R-CV-11260-09-2023</t>
  </si>
  <si>
    <t>ESCARLETH CLARITZA ORTIZ ESPINAL</t>
  </si>
  <si>
    <t>R-CV-11317-09-2023</t>
  </si>
  <si>
    <t>R - CV - 11256 - 09 - 2023</t>
  </si>
  <si>
    <t>FREDY DE JESUS AGUILAR GONZALEZ</t>
  </si>
  <si>
    <t>TRAUMATISMO EN LA MEDULA ESPINAL /ACCIDENTE AUTOMOVILISTICO</t>
  </si>
  <si>
    <t>R - CV - 11285 - 10 - 2023</t>
  </si>
  <si>
    <t>MARCO ANTONIO HENDERSON SUAZO</t>
  </si>
  <si>
    <t>R - CV - 11338 - 10 - 2023</t>
  </si>
  <si>
    <t>R - CV - 11300 - 10 - 2023</t>
  </si>
  <si>
    <t>VILMA ARACELY POLANCO ROSA</t>
  </si>
  <si>
    <t>R - CV - 11364 - 10 - 2023</t>
  </si>
  <si>
    <t>R - CV - 11426 - 11 - 2023</t>
  </si>
  <si>
    <t>KADY NIKOLE WADE MEJIA</t>
  </si>
  <si>
    <t>R - CV - 11432 - 11 - 2023</t>
  </si>
  <si>
    <t>R - CV - 11191 - 09 - 2023</t>
  </si>
  <si>
    <t>ISIDRO BARRERA LOPEZ</t>
  </si>
  <si>
    <t>GLIOBLASTOMA MULTIFORME GRADO III</t>
  </si>
  <si>
    <t>R - CV - 11225 - 09 - 2023</t>
  </si>
  <si>
    <t>R - CV - 11360 - 11 - 2023</t>
  </si>
  <si>
    <t>R - CV - 11407 - 11 - 2023</t>
  </si>
  <si>
    <t>2020/19</t>
  </si>
  <si>
    <t>2021/20</t>
  </si>
  <si>
    <t>2022/21</t>
  </si>
  <si>
    <t>2023/22</t>
  </si>
  <si>
    <t>CONTRATO CATASTRÓFICO</t>
  </si>
  <si>
    <t>% Costro Contrato</t>
  </si>
  <si>
    <t>% Costo Contrato</t>
  </si>
  <si>
    <t>% Costo Contrato WCXL Y CAT.</t>
  </si>
  <si>
    <t>R - CV - 11473 - 12 - 2023</t>
  </si>
  <si>
    <t>BLADIMIR DASAEV BARAHONA RAMIREZ</t>
  </si>
  <si>
    <t>R - CV - 11554 - 12 - 2023</t>
  </si>
  <si>
    <t>INSUFICIENCIA RESPIRATORIA.</t>
  </si>
  <si>
    <t>R-CV-128-03-2023</t>
  </si>
  <si>
    <t>R-CV-226-03-2023</t>
  </si>
  <si>
    <t>R-CV-10618-03-2023</t>
  </si>
  <si>
    <t>R-CV-10632-03-2023</t>
  </si>
  <si>
    <t>ADENOCARCINOMA VESICULAR</t>
  </si>
  <si>
    <t>CHOQUE MIXTO SEPTICO</t>
  </si>
  <si>
    <t>R - CV - 11348 - 10 - 2023</t>
  </si>
  <si>
    <t>R - CV - 11286 - 10 - 2023</t>
  </si>
  <si>
    <t>JOSE HIDALBERTO VILLALVIR LOPEZ</t>
  </si>
  <si>
    <t>R-CV-6610-02-2023</t>
  </si>
  <si>
    <t>MARIO DE JESUS MARCIA ORDOÑEZ</t>
  </si>
  <si>
    <t>R-CV-10503-02-2023</t>
  </si>
  <si>
    <t>R-CV-10823-05-2023</t>
  </si>
  <si>
    <t>R-CV-10868-06-2023</t>
  </si>
  <si>
    <t>R - CV - 214 - 04 - 2023</t>
  </si>
  <si>
    <t>TULIO ADALVERTO PORTILLO CHINCHILLA</t>
  </si>
  <si>
    <t>CANCER DE TIROIDES METASTASICO</t>
  </si>
  <si>
    <t>R - CV - 225 - 02 - 2023</t>
  </si>
  <si>
    <t>YAREDI HAROBI MEJIA PAREDES</t>
  </si>
  <si>
    <t>DEL 01 DE ENERO 2024 AL 31 DE DICIEMBRE 2024</t>
  </si>
  <si>
    <t>CONTRATO DE REASEGURO DE EXCESOS DE PÉRDIDA OPERATIVO DE VIDA 2023</t>
  </si>
  <si>
    <t>R-CV-11849-04-2024</t>
  </si>
  <si>
    <t>ALBERTO SUAZO CASTILLO</t>
  </si>
  <si>
    <t>INSUFICIENCIA CARDIACA</t>
  </si>
  <si>
    <t>R-CV-164462-04-2024</t>
  </si>
  <si>
    <t>R-BS-361-02-2024</t>
  </si>
  <si>
    <t>ANDRES AVELINO HERNANDEZ</t>
  </si>
  <si>
    <t>INFARTO</t>
  </si>
  <si>
    <t>R-CV-11627-02-2024</t>
  </si>
  <si>
    <t>DANILO ANTONIO PERDOMO SUAZO</t>
  </si>
  <si>
    <t>R-CV-11765-02-2024</t>
  </si>
  <si>
    <t>R-BS-359-01-2024</t>
  </si>
  <si>
    <t>GERMAN LEVI MORALES BARAHONA</t>
  </si>
  <si>
    <t>R-CV-11654-02-2024</t>
  </si>
  <si>
    <t>R-CV-11793-02-2024</t>
  </si>
  <si>
    <t>R-CV-11845-04-2024</t>
  </si>
  <si>
    <t>HECTOR RUBEN PADILLA CERNA</t>
  </si>
  <si>
    <t>METASTASIS CEREBRAL</t>
  </si>
  <si>
    <t>R-CV-11991-04-2024</t>
  </si>
  <si>
    <t>R-CV-6845-04-2024</t>
  </si>
  <si>
    <t>HUGO HUMBERTO MEJIA NAVARRO</t>
  </si>
  <si>
    <t>R-CV-11883-04-2024</t>
  </si>
  <si>
    <t>R-CV-11885-04-2024</t>
  </si>
  <si>
    <t>R-CV-12037-04-2024</t>
  </si>
  <si>
    <t>R-CV-252-05-2024</t>
  </si>
  <si>
    <t>R-CV-11938-05-2024</t>
  </si>
  <si>
    <t>R-CV-11892-04-2024</t>
  </si>
  <si>
    <t>MARIO EDILBERTO VALLADARES CANALES</t>
  </si>
  <si>
    <t>ESTADO DE CHOQUE SEPTICO</t>
  </si>
  <si>
    <t>R - CV - 11789 - 03 - 2024</t>
  </si>
  <si>
    <t>R - CV - 11925 - 03 - 2024</t>
  </si>
  <si>
    <t>R - CV - 11703 - 02 - 2024</t>
  </si>
  <si>
    <t>R - CV - 11843 - 02 - 2024</t>
  </si>
  <si>
    <t>R - CV - 6834 - 04 - 2024</t>
  </si>
  <si>
    <t>R-CV-11906-05-2024</t>
  </si>
  <si>
    <t>RINA ETHEL BORJAS SIERRA</t>
  </si>
  <si>
    <t>R-CV-11952-05-2024</t>
  </si>
  <si>
    <t>R-CV-12098-05-2024</t>
  </si>
  <si>
    <t>AÑO 2024</t>
  </si>
  <si>
    <t>R-CV-6755-12-2023</t>
  </si>
  <si>
    <t>R-CV-9928-11-2022</t>
  </si>
  <si>
    <t>EDILBERTO LOPEZ DIAZ</t>
  </si>
  <si>
    <t>LEUCEMIA MIELOIDE AGUDA</t>
  </si>
  <si>
    <t>R-CV-10239-11-2022</t>
  </si>
  <si>
    <t>R-CV-11858-04-2024</t>
  </si>
  <si>
    <t>ALEJANDRA NAZARETH HERNANDEZ VALLECILLO</t>
  </si>
  <si>
    <t>R-CV-12008-04-2024</t>
  </si>
  <si>
    <t>R-CV-11691-02-2024</t>
  </si>
  <si>
    <t>FERNANDO ADONAI CRUZ NUÑEZ</t>
  </si>
  <si>
    <t>R-CV-11698-02-2024</t>
  </si>
  <si>
    <t>R-CV-249-04-2024</t>
  </si>
  <si>
    <t>R - CV - 6825 - 03 - 2024</t>
  </si>
  <si>
    <t>R - CV - 11732 - 03 - 2024</t>
  </si>
  <si>
    <t>R - CV - 11869 - 03 - 2024</t>
  </si>
  <si>
    <t>R - CV - 235 - 10 - 2023</t>
  </si>
  <si>
    <t>R-CV-11670-01-2024</t>
  </si>
  <si>
    <t>GILMA SANTANA LAGOS</t>
  </si>
  <si>
    <t>METASTASIS MULTIORGANICA</t>
  </si>
  <si>
    <t>R-CV-11550-01-2024</t>
  </si>
  <si>
    <t>R-CV-6779-01-2024</t>
  </si>
  <si>
    <t>R-CV-242-01-2024</t>
  </si>
  <si>
    <t>R-CV-241-01-2024</t>
  </si>
  <si>
    <t>R-CV-11790-02-2024</t>
  </si>
  <si>
    <t>R-CV-11633-02-2024</t>
  </si>
  <si>
    <t>JOHANY NOHELY SANCHEZ SANCHEZ</t>
  </si>
  <si>
    <t>R-BS-356-12-2023</t>
  </si>
  <si>
    <t>R- CV-  6730 - 11 -2023</t>
  </si>
  <si>
    <t>MARIA CONCEPCION REYES LANZA</t>
  </si>
  <si>
    <t>R- CV-  11408 - 11 -2023</t>
  </si>
  <si>
    <t>R- CV-  11463 - 11 -2023</t>
  </si>
  <si>
    <t>R- CV- 245 - 02 - 2024</t>
  </si>
  <si>
    <t>R-CV-11362-11-2023</t>
  </si>
  <si>
    <t>OSCAR ROLANDO BEJARANO ORELLANA</t>
  </si>
  <si>
    <t>R-CV-164396-11-2023</t>
  </si>
  <si>
    <t>R-CV-11687-01-2024</t>
  </si>
  <si>
    <t>ROSA DOLORES GARRIDO</t>
  </si>
  <si>
    <t>R-CV-11559-01-2024</t>
  </si>
  <si>
    <t>R - CV - 11630 - 01 - 2024</t>
  </si>
  <si>
    <t>SANTOS INOCENTE PAVON REYES</t>
  </si>
  <si>
    <t>R - CV - 11534 - 01 - 2024</t>
  </si>
  <si>
    <t>R - CV - 11806 - 02 - 2024</t>
  </si>
  <si>
    <t>Prima de Ajuste al 31.12.2022 Pagada en marzo 2024</t>
  </si>
  <si>
    <t>2024/23</t>
  </si>
  <si>
    <t>COSTO TOTAL CONTRATOS VIDA (WCXL - CAT)</t>
  </si>
  <si>
    <t>Siniestralidad a Cargo del Contrato Vida Operativo 2011-2024</t>
  </si>
  <si>
    <t>CONTRATO OPERATIVO</t>
  </si>
  <si>
    <t>Prima M&amp;D 2024</t>
  </si>
  <si>
    <t>Prima M&amp;D 2021</t>
  </si>
  <si>
    <t>Prima del Contrato</t>
  </si>
  <si>
    <t>R - CV - 12009 - 06 - 2024</t>
  </si>
  <si>
    <t>R - CV - 12196 - 06 - 2024</t>
  </si>
  <si>
    <t>R - CV - 11946 - 05 - 2024</t>
  </si>
  <si>
    <t>R - CV - 12097 - 05 - 2024</t>
  </si>
  <si>
    <t>R - CV - 224 - 06 - 2024</t>
  </si>
  <si>
    <t>R - CV - 225 - 06 - 2024</t>
  </si>
  <si>
    <t>R - CV - 256 - 06 - 2024</t>
  </si>
  <si>
    <t>R-CV-257-06-2024</t>
  </si>
  <si>
    <t>R-CV-12019-06-2024</t>
  </si>
  <si>
    <t>R - CV - 11973 - 05 - 2024</t>
  </si>
  <si>
    <t>R - CV - 12140 - 05 - 2024</t>
  </si>
  <si>
    <t>R-CV-12060-06-2024</t>
  </si>
  <si>
    <t>R-CV-164500-06-2024</t>
  </si>
  <si>
    <t>R - CV - 11972 - 05 - 2024</t>
  </si>
  <si>
    <t>R - CV - 12139 - 05 - 2024</t>
  </si>
  <si>
    <t>CARMEN TERESA MATA LEMUS</t>
  </si>
  <si>
    <t>ERWIN RAUL PAZ MARTINEZ</t>
  </si>
  <si>
    <t>JIMMY LORDWIND LOZANO MEJIA</t>
  </si>
  <si>
    <t>JOSE MANUEL PORTILLO CARRANZA</t>
  </si>
  <si>
    <t>MARTIN VELASQUEZ</t>
  </si>
  <si>
    <t>OSCAR ROLANDO MORENO TABORA</t>
  </si>
  <si>
    <t>NEUMONIA NOSOCOMIAL SEVERA FUNGICA</t>
  </si>
  <si>
    <t>GLAUCOMA + OBESIDAD + DIABETES MELLITUS</t>
  </si>
  <si>
    <t>INFARTO FULMINANTE AL MIOCARDIO</t>
  </si>
  <si>
    <t xml:space="preserve">Elaborado por el Departamento de Reaseguro, los datos de Siniestros a Cargo del Contrato; </t>
  </si>
  <si>
    <t>R-CV-11978-05-2024</t>
  </si>
  <si>
    <t>JOSE WILMER AMADOR ORDOÑEZ</t>
  </si>
  <si>
    <t>INCAPACIDAD PARA CONCENTRACION Y COORDINACION DE ACTIVIDADES</t>
  </si>
  <si>
    <t>INCAPACIDAD</t>
  </si>
  <si>
    <t>R - CV - 12013 - 06 - 2024</t>
  </si>
  <si>
    <t>YONY MARILETH RAMIREZ ERAZO</t>
  </si>
  <si>
    <t>DIABETES MELLITUS TIPO II DESCOMPENSADA</t>
  </si>
  <si>
    <t>R-CV-164584-07-2024</t>
  </si>
  <si>
    <t>R-CV-164580-07-2024</t>
  </si>
  <si>
    <t>ALBA MARITZA CASTRO MELENDEZ</t>
  </si>
  <si>
    <t>CESAR AUGUSTO FAJARDO ENAMORADO</t>
  </si>
  <si>
    <t>R - CV - 6732 - 06 - 2024</t>
  </si>
  <si>
    <t>R - CV - 12014 - 06 - 2024</t>
  </si>
  <si>
    <t>R - CV - 12200 - 06 - 2024</t>
  </si>
  <si>
    <t>R - CV - 12310 - 07 - 2024</t>
  </si>
  <si>
    <t>R - CV - 164518 - 07 - 2024</t>
  </si>
  <si>
    <t>R-CV-12074-06-2024</t>
  </si>
  <si>
    <t>R-CV-12237-06-2024</t>
  </si>
  <si>
    <t>R - CV - 6707 - 05 - 2024</t>
  </si>
  <si>
    <t>JOSE ERNESTO ARITA ORELLANA</t>
  </si>
  <si>
    <t>KARLA PATRICIA PAREDES FLETES</t>
  </si>
  <si>
    <t>GLIOBLASTOMA MULTIFORME</t>
  </si>
  <si>
    <t>MARVIN AMERICO ARIAS GALEAS</t>
  </si>
  <si>
    <t>INFECCION POR SARS COV-2</t>
  </si>
  <si>
    <t>R-CV-12424-08-2024</t>
  </si>
  <si>
    <t>R-CV-164643-08-2024</t>
  </si>
  <si>
    <t>OSCAR MANUEL ALVAREZ ALMENDAREZ</t>
  </si>
  <si>
    <t>R-CV-12437-08-2024</t>
  </si>
  <si>
    <t>R-CV-164649-08-2024</t>
  </si>
  <si>
    <t>NAUN ANTONIO ZEPEDA LARA</t>
  </si>
  <si>
    <t>NEUMONIA INTRAHOSPITALARIA</t>
  </si>
  <si>
    <t>R - CV - 6758 - 08 - 2024</t>
  </si>
  <si>
    <t>REYDILIO ENAMORADO</t>
  </si>
  <si>
    <t>R - CV - 12532 - 09 - 2024</t>
  </si>
  <si>
    <t>DUGLAS ANTONIO MELGAR GARCIA</t>
  </si>
  <si>
    <t>R - CV - 164732 - 09 - 2024</t>
  </si>
  <si>
    <t>R-CV-164542-09-2024</t>
  </si>
  <si>
    <t>MARCO ANTONIO CRUZ INESTROZA</t>
  </si>
  <si>
    <t>R-CV-164713-09-2024</t>
  </si>
  <si>
    <t>R - CV - 6849 - 05 - 2024</t>
  </si>
  <si>
    <t>FRANCIS SUYAPA MARTINEZ ORTIZ</t>
  </si>
  <si>
    <t>SINDROME ICTERICO FEBRIL EN ESTUDIO</t>
  </si>
  <si>
    <t>R-CV-11766-03-2024</t>
  </si>
  <si>
    <t>SINDROME FEBRIL EN ESTUDIO</t>
  </si>
  <si>
    <t>ADENOCACINOMA VESICULAR</t>
  </si>
  <si>
    <t>LUPUS ERITEMATOSO SISTEMICO</t>
  </si>
  <si>
    <t>ENFERMEDAD RENAL CRONICA ESTADIO IV</t>
  </si>
  <si>
    <r>
      <t xml:space="preserve">Mensual </t>
    </r>
    <r>
      <rPr>
        <b/>
        <vertAlign val="superscript"/>
        <sz val="10"/>
        <color indexed="19"/>
        <rFont val="Aptos Narrow"/>
        <family val="2"/>
      </rPr>
      <t>1/</t>
    </r>
  </si>
  <si>
    <r>
      <rPr>
        <vertAlign val="superscript"/>
        <sz val="10"/>
        <rFont val="Aptos Narrow"/>
        <family val="2"/>
      </rPr>
      <t xml:space="preserve">1/ </t>
    </r>
    <r>
      <rPr>
        <sz val="10"/>
        <rFont val="Aptos Narrow"/>
        <family val="2"/>
      </rPr>
      <t>La suma de las variaciones mensuales no es necesariamente igual a la variación acumulada, debido a las aproximaciones.</t>
    </r>
  </si>
  <si>
    <t>Tasa Mínima</t>
  </si>
  <si>
    <t>Tasa Máxima</t>
  </si>
  <si>
    <t>INDEXACIÓN</t>
  </si>
  <si>
    <t>2025/24</t>
  </si>
  <si>
    <t>DEL 01 DE ENERO 2025 AL 31 DE DICIEMBRE 2025</t>
  </si>
  <si>
    <t>CONTRATO DE REASEGURO DE EXCESOS DE PÉRDIDA OPERATIVO DE VIDA 2024</t>
  </si>
  <si>
    <t>CONTRATO DE REASEGURO DE EXCESOS DE PÉRDIDA OPERATIVO DE VIDA 2025</t>
  </si>
  <si>
    <t>R - CV - 7130 - 09 - 2025</t>
  </si>
  <si>
    <t>ANA MERCEDES MEJIA</t>
  </si>
  <si>
    <t>SINDROME DE INSUFICIENCIA RESPIRATORIA</t>
  </si>
  <si>
    <t>R - CV - 165878 - 09 - 2025</t>
  </si>
  <si>
    <t>R - CV - 166082 - 09 - 2025</t>
  </si>
  <si>
    <t>R - CV - 166085 - 09 - 2025</t>
  </si>
  <si>
    <t>R - CV - 279 - 07 - 2025</t>
  </si>
  <si>
    <t>CARLOS RAFAEL PAZ PAVON</t>
  </si>
  <si>
    <t>R - CV - 165877 - 09 - 2025</t>
  </si>
  <si>
    <t>CARMEN MARIA ALCERRO RIVERA</t>
  </si>
  <si>
    <t>HEMORRAGIA CEREBRAL</t>
  </si>
  <si>
    <t>R - CV - 166084 - 09 - 2025</t>
  </si>
  <si>
    <t>R - CV - 166087 - 09 - 2025</t>
  </si>
  <si>
    <t>R - CV - 7083 - 06 - 2025</t>
  </si>
  <si>
    <t>CELSO PERDOMO AGUILAR</t>
  </si>
  <si>
    <t>CANCER COLON</t>
  </si>
  <si>
    <t>R - CV - 165555 - 06 - 2025</t>
  </si>
  <si>
    <t>R - CV - 165786 - 06 - 2025</t>
  </si>
  <si>
    <t>R - CV - 165654 - 07 - 2025</t>
  </si>
  <si>
    <t>EFRAHIN CARDONA HERNANDEZ</t>
  </si>
  <si>
    <t>R - CV - 165883 - 07 - 2025</t>
  </si>
  <si>
    <t>R - CV - 6981 - 09 - 2025</t>
  </si>
  <si>
    <t>ELVIN ALFREDO SANTOS CRUZ</t>
  </si>
  <si>
    <t>R - CV - 165829 - 09 - 2025</t>
  </si>
  <si>
    <t>R - CV - 6903 - 05 - 2025</t>
  </si>
  <si>
    <t>FRESBINDO PORTILLO GALDAMEZ</t>
  </si>
  <si>
    <t>R - CV - 165483 - 05 - 2025</t>
  </si>
  <si>
    <t>R - CV - 165491 - 05 - 2025</t>
  </si>
  <si>
    <t>R - CV - 165751 - 05 - 2025</t>
  </si>
  <si>
    <t>R - CV - 165868 - 07 - 2025</t>
  </si>
  <si>
    <t>GUMERCINDO RODAS</t>
  </si>
  <si>
    <t>R - CV - 165626 - 07 - 2025</t>
  </si>
  <si>
    <t>R - CV - 7106 - 07 - 2025</t>
  </si>
  <si>
    <t>R - CV - 165634 - 07 - 2025</t>
  </si>
  <si>
    <t>R - BS - 392 - 04 - 2025</t>
  </si>
  <si>
    <t>HERMELINDA RODRIGUEZ RUIZ</t>
  </si>
  <si>
    <t>PARADA RESPIRATORIA POR FIBROSIS PULMONAR</t>
  </si>
  <si>
    <t>R - CV - 165462 - 05 - 2025</t>
  </si>
  <si>
    <t>ISMAEL ALEJANDRO MUÑOZ ESPINOZA</t>
  </si>
  <si>
    <t>R - CV - 165726 - 05 - 2025</t>
  </si>
  <si>
    <t>R - CV - 165859 - 09 - 2025</t>
  </si>
  <si>
    <t>ISMAEL FLORES LAINEZ</t>
  </si>
  <si>
    <t>R - CV - 166075 - 09 - 2025</t>
  </si>
  <si>
    <t>R - CV - 165938 - 10 - 2025</t>
  </si>
  <si>
    <t>R - CV - 166162 - 10 - 2025</t>
  </si>
  <si>
    <t>R - CV - 165377 - 04 - 2025</t>
  </si>
  <si>
    <t>JOSE FRANCISCO MAZZONI VINDEL</t>
  </si>
  <si>
    <t>INFARTO AGUDO MIOCARDIO</t>
  </si>
  <si>
    <t>R - CV - 165645 - 04 - 2025</t>
  </si>
  <si>
    <t>R - CV - 277 - 06 - 2025</t>
  </si>
  <si>
    <t>R - CV - 6884 - 04 - 2025</t>
  </si>
  <si>
    <t>JOSE LEONILO HERNANDEZ</t>
  </si>
  <si>
    <t>R - CV - 7071 - 05 - 2025</t>
  </si>
  <si>
    <t>R - CV - 165504 - 05 - 2025</t>
  </si>
  <si>
    <t>R - CV - 165765 - 05 - 2025</t>
  </si>
  <si>
    <t>R - CV - 6935 - 06 - 2025</t>
  </si>
  <si>
    <t>R - CV - 165956 - 10 - 2025</t>
  </si>
  <si>
    <t>R - CV - 166151 - 10 - 2025</t>
  </si>
  <si>
    <t>R - CV - 164766 - 08 - 2025</t>
  </si>
  <si>
    <t>JOSE MIGUEL RIVERA VARELA</t>
  </si>
  <si>
    <t>R - CV - 166005 - 08 - 2025</t>
  </si>
  <si>
    <t>R - CV - 164743 - 08 - 2025</t>
  </si>
  <si>
    <t>JUAN BAUTISTA GUEVARA MONCADA</t>
  </si>
  <si>
    <t>R - CV - 165963 - 08 - 2025</t>
  </si>
  <si>
    <t>R - CV - 7078 - 06 - 2025</t>
  </si>
  <si>
    <t>JUAN DE DIOS BETANCOURT MENDEZ</t>
  </si>
  <si>
    <t>R - CV - 164716 - 06 - 2025</t>
  </si>
  <si>
    <t>R - CV - 165779 - 06 - 2025</t>
  </si>
  <si>
    <t>R - CV - 7127 - 09 - 2025</t>
  </si>
  <si>
    <t>LUIS ALBERTO UCLES MATUTE</t>
  </si>
  <si>
    <t>R - CV - 165856 - 09 - 2025</t>
  </si>
  <si>
    <t>R - CV - 166072 - 09 - 2025</t>
  </si>
  <si>
    <t>R - CV - 165839 - 07 - 2025</t>
  </si>
  <si>
    <t>LUIS FERNANDO FORTIN SALGADO</t>
  </si>
  <si>
    <t>R - CV - 7076 - 06 - 2025</t>
  </si>
  <si>
    <t>LUIS FERNANDO MONTOYA JUANEZ</t>
  </si>
  <si>
    <t>R - CV - 278 - 06 - 2025</t>
  </si>
  <si>
    <t>R - CV - 165525 - 06 - 2025</t>
  </si>
  <si>
    <t>R - CV - 165846 - 07 - 2025</t>
  </si>
  <si>
    <t>MARCOS GUZMAN</t>
  </si>
  <si>
    <t>R - CV - 7098 - 07 - 2025</t>
  </si>
  <si>
    <t>R - CV - 164758 - 08 - 2025</t>
  </si>
  <si>
    <t>MARIA APOLONIA SANCHEZ AMAYA</t>
  </si>
  <si>
    <t>FALLA MULTIPLE DE ORGANOS</t>
  </si>
  <si>
    <t>R - CV - 165975 - 08 - 2025</t>
  </si>
  <si>
    <t>R - CV - 165225 - 02 - 2025</t>
  </si>
  <si>
    <t>MELVIN DANILO COREA REAÑOS</t>
  </si>
  <si>
    <t>R - CV - 165344 - 02 - 2025</t>
  </si>
  <si>
    <t>R - CV - 165396 - 04 - 2025</t>
  </si>
  <si>
    <t>NASLY ELENA HERNANDEZ LARA</t>
  </si>
  <si>
    <t>R - CV - 165660 - 04 - 2025</t>
  </si>
  <si>
    <t>R - CV - 165398 - 04 - 2025</t>
  </si>
  <si>
    <t>NOLVIA SORTO AGUILAR</t>
  </si>
  <si>
    <t>DISTRESS RESPIRATORIO TIPO I</t>
  </si>
  <si>
    <t>R - CV - 165666 - 04 - 2025</t>
  </si>
  <si>
    <t>R - CV - 7091 - 06 - 2025</t>
  </si>
  <si>
    <t>R - CV - 165602 - 07 - 2025</t>
  </si>
  <si>
    <t>OSCAR PORFIRIO SEVILLA BERTRAND</t>
  </si>
  <si>
    <t>R - CV - 165847 - 07 - 2025</t>
  </si>
  <si>
    <t>R - CV - 7042 - 03 - 2025</t>
  </si>
  <si>
    <t>PEDRO JUAN MONTES</t>
  </si>
  <si>
    <t>FALLA RESPIRATORIA AGUDA</t>
  </si>
  <si>
    <t>R - CV - 164685 - 03 - 2025</t>
  </si>
  <si>
    <t>R - CV - 165576 - 03 - 2025</t>
  </si>
  <si>
    <t>R - CV - 165276 - 03 - 2025</t>
  </si>
  <si>
    <t>PRICILA  VELASQUEZ PEREIRA</t>
  </si>
  <si>
    <t>R - CV - 165560 - 03 - 2025</t>
  </si>
  <si>
    <t>R - CV - 7053 - 04 - 2025</t>
  </si>
  <si>
    <t>R - CV - 7062 - 04 - 2025</t>
  </si>
  <si>
    <t>WENDY PATRICIA GALDAMEZ VASQUEZ</t>
  </si>
  <si>
    <t>R - CV - 165427 - 04 - 2025</t>
  </si>
  <si>
    <t>R - CV - 165700 - 04 - 2025</t>
  </si>
  <si>
    <t>R - CV - 165704 - 04 - 2025</t>
  </si>
  <si>
    <t>R - CV - 164908 - 10 - 2024</t>
  </si>
  <si>
    <t>ARACELY ENAMORADO GUZMAN</t>
  </si>
  <si>
    <t>R - CV - 165307 - 03 - 2025</t>
  </si>
  <si>
    <t>AXEL ANTONIO QUIROZ COLINDRES</t>
  </si>
  <si>
    <t>R-BS-385-10-2024</t>
  </si>
  <si>
    <t>R-CV-164926-11-2024</t>
  </si>
  <si>
    <t>R-CV-164929-11-2024</t>
  </si>
  <si>
    <t>R-CV-164932-11-2024</t>
  </si>
  <si>
    <t>R - CV - 166029 - 08 - 2025</t>
  </si>
  <si>
    <t>CAROLINA ELIZABETH GUTIERREZ CARIAS</t>
  </si>
  <si>
    <t>ESCLEROSIS LATERAL AMIOTROFICA</t>
  </si>
  <si>
    <t>R-CV-164708-09-2024</t>
  </si>
  <si>
    <t>DORIS IDALIA MORALES MIRANDA</t>
  </si>
  <si>
    <t>SINDROME DE HIPERTENSION ENDOCRANEANA</t>
  </si>
  <si>
    <t>R-CV-6950-09-2024</t>
  </si>
  <si>
    <t>R-CV-12509-09-2024</t>
  </si>
  <si>
    <t>R-CV-164707-09-2024</t>
  </si>
  <si>
    <t>R-CV-164873-10-2024</t>
  </si>
  <si>
    <t>ELMER ADOLFO FUGON RODRIGUEZ</t>
  </si>
  <si>
    <t>R-CV-164871-10-2024</t>
  </si>
  <si>
    <t>R-CV-165000-11-2024</t>
  </si>
  <si>
    <t>ELVA MARIA SANCHEZ MEZA</t>
  </si>
  <si>
    <t>LEUCEMIA</t>
  </si>
  <si>
    <t>R-CV-164614-11-2024</t>
  </si>
  <si>
    <t>R - CV - 131 - 02 - 2025</t>
  </si>
  <si>
    <t>GUSTAVO ADOLFO LANZA DURON</t>
  </si>
  <si>
    <t>HIPERTENSION ARTERIAL + INFARTO AGUDO DEL MIOCARDIO</t>
  </si>
  <si>
    <t>R-CV-165007-11-2024</t>
  </si>
  <si>
    <t>R-CV-164616-11-2024</t>
  </si>
  <si>
    <t>R-CV-164895-10-2024</t>
  </si>
  <si>
    <t>HIPOLITO RAMBERTO CALIX ANTUNEZ</t>
  </si>
  <si>
    <t>R - CV - 165612 - 03 - 2025</t>
  </si>
  <si>
    <t>JOSE OCTAVIO MATA PAZ</t>
  </si>
  <si>
    <t>R - CV - 165652 - 04 - 2025</t>
  </si>
  <si>
    <t>LOURDES ARACELY RAUDA SARMIENTO</t>
  </si>
  <si>
    <t>R - CV - 164924 - 10 - 2024</t>
  </si>
  <si>
    <t>MANUEL ANDRES CHINCHILLA AGUILAR</t>
  </si>
  <si>
    <t>R - CV - 164873 - 10 - 2024</t>
  </si>
  <si>
    <t>R - CV - 164881 - 10 - 2024</t>
  </si>
  <si>
    <t>R - CV - 165334 - 02 - 2025</t>
  </si>
  <si>
    <t>MARIA ANGELA LOPEZ CARTAGENA</t>
  </si>
  <si>
    <t>HEMORRAGIA SUBARACNOIDEA FISHER IV</t>
  </si>
  <si>
    <t>R - CV - 6842 - 01 - 2025</t>
  </si>
  <si>
    <t>R - CV - 165141 - 01 - 2025</t>
  </si>
  <si>
    <t>R - CV - 165222 - 02 - 2025</t>
  </si>
  <si>
    <t>R - CV - 165581 - 03 - 2025</t>
  </si>
  <si>
    <t>MARIA DE LOS ANGELES CASTILLO BONILLA</t>
  </si>
  <si>
    <t>CANCER DE PANCREAS.</t>
  </si>
  <si>
    <t>R - CV - 165300 - 03 - 2025</t>
  </si>
  <si>
    <t>R - CV - 165125 - 01 - 2025</t>
  </si>
  <si>
    <t>MARIA JUANA PONCE MORALES</t>
  </si>
  <si>
    <t>R - CV - 165072 - 12 - 2024</t>
  </si>
  <si>
    <t>R - CV - 165074 - 12 - 2024</t>
  </si>
  <si>
    <t>R - CV - 6846 - 01 - 2025</t>
  </si>
  <si>
    <t>R - CV - 165219 - 01 - 2025</t>
  </si>
  <si>
    <t>PABLO ROBERTO ROBLES FLORES</t>
  </si>
  <si>
    <t>INFARTO AGUDO FULMINANTE</t>
  </si>
  <si>
    <t>R - CV - 164975 - 11 - 2024</t>
  </si>
  <si>
    <t>RAMON EDGARDO QUIJADA JOVEL</t>
  </si>
  <si>
    <t>COLANGIOCARCINOMA EC IV</t>
  </si>
  <si>
    <t>R - CV - 266 - 11 - 2024</t>
  </si>
  <si>
    <t>COLANGIOCARCINOMA  EC IV</t>
  </si>
  <si>
    <t>R - CV - 267 - 11 - 2024</t>
  </si>
  <si>
    <t>R - CV - 164666 - 02 - 2025</t>
  </si>
  <si>
    <t>RAMON SOLER CARBAJAL</t>
  </si>
  <si>
    <t>R - CV - 165335 - 02 - 2025</t>
  </si>
  <si>
    <t>R - CV - 6857 - 02 - 2025</t>
  </si>
  <si>
    <t>R - CV - 7005 - 12 - 2024</t>
  </si>
  <si>
    <t>R - CV - 165049 - 12 - 2024</t>
  </si>
  <si>
    <t>R - CV - 165051 - 12 - 2024</t>
  </si>
  <si>
    <t>R - CV - 165092 - 01 - 2025</t>
  </si>
  <si>
    <t>ROSA AMALIA VARELA HERNANDEZ</t>
  </si>
  <si>
    <t>R-CV-164610-11-2024</t>
  </si>
  <si>
    <t>R-CV-164945-11-2024</t>
  </si>
  <si>
    <t>R-CV-164947-11-2024</t>
  </si>
  <si>
    <t>R-CV-164990-11-2024</t>
  </si>
  <si>
    <t>R-CV-6997-12-2024</t>
  </si>
  <si>
    <t>R-CV-6998-12-2024</t>
  </si>
  <si>
    <t>R-CV-164619-12-2024</t>
  </si>
  <si>
    <t>R-CV-165008-12-2024</t>
  </si>
  <si>
    <t>R-CV-165014-12-2024</t>
  </si>
  <si>
    <t>R-CV-165015-12-2024</t>
  </si>
  <si>
    <t>R-CV-164841-10-2024</t>
  </si>
  <si>
    <t>SAMIR ALFREDO FLORES CARRANZA</t>
  </si>
  <si>
    <t>R-SS-72-10-2024</t>
  </si>
  <si>
    <t>R-CV-265-10-2024</t>
  </si>
  <si>
    <t>R-CV-164844-10-2024</t>
  </si>
  <si>
    <t>R - CV - 165356 - 02 - 2025</t>
  </si>
  <si>
    <t>SANTOS NECTALI TALAVERA BUCARDO</t>
  </si>
  <si>
    <t>R - CV - 165226 - 02 - 2025</t>
  </si>
  <si>
    <t>R-CV-165058-12-2024</t>
  </si>
  <si>
    <t>SANTOS RIGOBERTO AGUILERA</t>
  </si>
  <si>
    <t>R-CV-165016-12-2024</t>
  </si>
  <si>
    <t>R-CV-164620-12-2024</t>
  </si>
  <si>
    <t>R-CV-164957-11-2024</t>
  </si>
  <si>
    <t>SUYAPA QUIÑONEZ SUAZO</t>
  </si>
  <si>
    <t>CHOQUE SEPTICO FOCO ENTRADA ABDOMINAL</t>
  </si>
  <si>
    <t>R-CV-164894-10-2024</t>
  </si>
  <si>
    <t>CHOQUE SEPTICO FOCO ENTRADA ABDOMEN</t>
  </si>
  <si>
    <t>R-CV-164585-11-2024</t>
  </si>
  <si>
    <t>R - CV - 165312 - 02 - 2025</t>
  </si>
  <si>
    <t>WILMER ALBERTO PADILLA ESCALANTE</t>
  </si>
  <si>
    <t>R - CV - 273 - 02 - 2025</t>
  </si>
  <si>
    <t>R - CV - 165198 - 02 - 2025</t>
  </si>
  <si>
    <t>R-CV-11766-02-2024</t>
  </si>
  <si>
    <t>EDUVINA GARCIA</t>
  </si>
  <si>
    <t>ENCEFALOPATIA AMONIACAL</t>
  </si>
  <si>
    <t>R-CV-11628-02-2024</t>
  </si>
  <si>
    <t>R - CV - 165284 - 03 - 2025</t>
  </si>
  <si>
    <t>R - CV - 165322 - 02 - 2025</t>
  </si>
  <si>
    <t>LOURDES ELIZABETH RUBIO MEDINA</t>
  </si>
  <si>
    <t>R-CV-12548-09-2024</t>
  </si>
  <si>
    <t>RITSY SOFIA CORRALES RODRIGUEZ</t>
  </si>
  <si>
    <t>HEPATITIS B</t>
  </si>
  <si>
    <t>R-CV-164746-09-2024</t>
  </si>
  <si>
    <t>Total al 2025</t>
  </si>
  <si>
    <t>AÑO 2025</t>
  </si>
  <si>
    <t>AÑO 2026</t>
  </si>
  <si>
    <t>actualizados al 31 de octubre 2025.</t>
  </si>
  <si>
    <t>OPCIÓN 1</t>
  </si>
  <si>
    <t>OPCIÓN 2</t>
  </si>
  <si>
    <t>L.A.A.????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</si>
</sst>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 &quot;L.&quot;\ * #,##0.00_ ;_ &quot;L.&quot;\ * \-#,##0.00_ ;_ &quot;L.&quot;\ * &quot;-&quot;??_ ;_ @_ "/>
    <numFmt numFmtId="165" formatCode="_ * #,##0.00_ ;_ * \-#,##0.00_ ;_ * &quot;-&quot;??_ ;_ @_ "/>
    <numFmt numFmtId="166" formatCode="_-* #,##0.00\ _€_-;\-* #,##0.00\ _€_-;_-* &quot;-&quot;??\ _€_-;_-@_-"/>
    <numFmt numFmtId="167" formatCode="_(* #,##0.00_);_(* \(#,##0.00\);_(* &quot;-&quot;??_);_(@_)"/>
    <numFmt numFmtId="168" formatCode="#,##0.00_ ;[Red]\-#,##0.00\ "/>
    <numFmt numFmtId="169" formatCode="#,##0.00_ ;\-#,##0.00\ "/>
    <numFmt numFmtId="170" formatCode="dd/mm/yyyy;@"/>
    <numFmt numFmtId="171" formatCode="_ [$L.-480A]\ * #,##0.00_ ;_ [$L.-480A]\ * \-#,##0.00_ ;_ [$L.-480A]\ * &quot;-&quot;??_ ;_ @_ "/>
    <numFmt numFmtId="172" formatCode="0.0"/>
    <numFmt numFmtId="173" formatCode="_ * #,##0.000000_ ;_ * \-#,##0.000000_ ;_ * &quot;-&quot;??_ ;_ @_ "/>
    <numFmt numFmtId="174" formatCode="0.0000%"/>
    <numFmt numFmtId="175" formatCode="0.000000%"/>
    <numFmt numFmtId="176" formatCode="0.0000"/>
    <numFmt numFmtId="177" formatCode="_-[$L-480A]* #,##0.00_-;\-[$L-480A]* #,##0.00_-;_-[$L-480A]* &quot;-&quot;??_-;_-@_-"/>
    <numFmt numFmtId="178" formatCode="_(&quot;L.&quot;\ * #,##0.00_);_(&quot;L.&quot;\ * \(#,##0.00\);_(&quot;L.&quot;\ * &quot;-&quot;??_);_(@_)"/>
    <numFmt numFmtId="179" formatCode="_-* #,##0.00\ [$€]_-;\-* #,##0.00\ [$€]_-;_-* &quot;-&quot;??\ [$€]_-;_-@_-"/>
    <numFmt numFmtId="180" formatCode="_-* #,##0.00\ _p_t_a_-;\-* #,##0.00\ _p_t_a_-;_-* &quot;-&quot;??\ _p_t_a_-;_-@_-"/>
    <numFmt numFmtId="181" formatCode="_(&quot;$&quot;* #,##0.00_);_(&quot;$&quot;* \(#,##0.00\);_(&quot;$&quot;* &quot;-&quot;??_);_(@_)"/>
    <numFmt numFmtId="182" formatCode="_ * #,##0_ ;_ * \-#,##0_ ;_ * &quot;-&quot;_ ;_ @_ "/>
    <numFmt numFmtId="183" formatCode="&quot;B/.&quot;\ #,##0_);\(&quot;B/.&quot;\ #,##0\)"/>
    <numFmt numFmtId="184" formatCode="_([$€-2]\ * #,##0.00_);_([$€-2]\ * \(#,##0.00\);_([$€-2]\ * &quot;-&quot;??_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8"/>
      <name val="Arial Narrow"/>
      <family val="2"/>
    </font>
    <font>
      <sz val="11"/>
      <color indexed="8"/>
      <name val="Calibri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rgb="FF002060"/>
      <name val="Aptos Narrow"/>
      <family val="2"/>
    </font>
    <font>
      <sz val="9"/>
      <color rgb="FF002060"/>
      <name val="Aptos Narrow"/>
      <family val="2"/>
    </font>
    <font>
      <sz val="11"/>
      <color theme="1"/>
      <name val="Aptos Narrow"/>
      <family val="2"/>
    </font>
    <font>
      <b/>
      <sz val="11"/>
      <color theme="8" tint="-0.249977111117893"/>
      <name val="Aptos Narrow"/>
      <family val="2"/>
    </font>
    <font>
      <b/>
      <sz val="11"/>
      <color theme="1"/>
      <name val="Aptos Narrow"/>
      <family val="2"/>
    </font>
    <font>
      <sz val="11"/>
      <color theme="8" tint="-0.249977111117893"/>
      <name val="Aptos Narrow"/>
      <family val="2"/>
    </font>
    <font>
      <b/>
      <sz val="14"/>
      <name val="Aptos Narrow"/>
      <family val="2"/>
    </font>
    <font>
      <b/>
      <sz val="11"/>
      <color theme="0"/>
      <name val="Aptos Narrow"/>
      <family val="2"/>
    </font>
    <font>
      <b/>
      <sz val="10"/>
      <color theme="1"/>
      <name val="Aptos Narrow"/>
      <family val="2"/>
    </font>
    <font>
      <sz val="11"/>
      <name val="Aptos Narrow"/>
      <family val="2"/>
    </font>
    <font>
      <sz val="10"/>
      <color theme="1"/>
      <name val="Aptos Narrow"/>
      <family val="2"/>
    </font>
    <font>
      <b/>
      <sz val="11"/>
      <name val="Aptos Narrow"/>
      <family val="2"/>
    </font>
    <font>
      <sz val="10"/>
      <name val="Aptos Narrow"/>
      <family val="2"/>
    </font>
    <font>
      <sz val="8"/>
      <color rgb="FF002060"/>
      <name val="Aptos Narrow"/>
      <family val="2"/>
    </font>
    <font>
      <b/>
      <sz val="10"/>
      <name val="Aptos Narrow"/>
      <family val="2"/>
    </font>
    <font>
      <sz val="11"/>
      <color indexed="8"/>
      <name val="Aptos Narrow"/>
      <family val="2"/>
    </font>
    <font>
      <b/>
      <sz val="14"/>
      <color indexed="8"/>
      <name val="Aptos Narrow"/>
      <family val="2"/>
    </font>
    <font>
      <b/>
      <sz val="12"/>
      <color indexed="8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ptos Narrow"/>
      <family val="2"/>
    </font>
    <font>
      <sz val="9"/>
      <name val="Aptos Narrow"/>
      <family val="2"/>
    </font>
    <font>
      <b/>
      <sz val="9"/>
      <name val="Aptos Narrow"/>
      <family val="2"/>
    </font>
    <font>
      <b/>
      <sz val="11"/>
      <color indexed="8"/>
      <name val="Aptos Narrow"/>
      <family val="2"/>
    </font>
    <font>
      <sz val="9"/>
      <color theme="1"/>
      <name val="Aptos Narrow"/>
      <family val="2"/>
    </font>
    <font>
      <sz val="10"/>
      <color indexed="8"/>
      <name val="Aptos Narrow"/>
      <family val="2"/>
    </font>
    <font>
      <b/>
      <sz val="10"/>
      <color indexed="8"/>
      <name val="Aptos Narrow"/>
      <family val="2"/>
    </font>
    <font>
      <b/>
      <sz val="10"/>
      <color theme="0"/>
      <name val="Aptos Narrow"/>
      <family val="2"/>
    </font>
    <font>
      <b/>
      <sz val="14"/>
      <color theme="0"/>
      <name val="Aptos Narrow"/>
      <family val="2"/>
    </font>
    <font>
      <b/>
      <sz val="9"/>
      <color theme="1"/>
      <name val="Aptos Narrow"/>
      <family val="2"/>
    </font>
    <font>
      <b/>
      <sz val="9"/>
      <color theme="0"/>
      <name val="Aptos Narrow"/>
      <family val="2"/>
    </font>
    <font>
      <sz val="11"/>
      <color theme="0"/>
      <name val="Aptos Narrow"/>
      <family val="2"/>
    </font>
    <font>
      <b/>
      <sz val="13"/>
      <name val="Aptos Narrow"/>
      <family val="2"/>
    </font>
    <font>
      <b/>
      <sz val="10"/>
      <color theme="2" tint="-0.749992370372631"/>
      <name val="Aptos Narrow"/>
      <family val="2"/>
    </font>
    <font>
      <b/>
      <vertAlign val="superscript"/>
      <sz val="10"/>
      <color indexed="19"/>
      <name val="Aptos Narrow"/>
      <family val="2"/>
    </font>
    <font>
      <vertAlign val="superscript"/>
      <sz val="10"/>
      <name val="Aptos Narrow"/>
      <family val="2"/>
    </font>
    <font>
      <b/>
      <sz val="10"/>
      <color rgb="FF002060"/>
      <name val="Aptos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charset val="134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8"/>
      <color theme="3"/>
      <name val="Calibri"/>
      <family val="2"/>
      <scheme val="major"/>
    </font>
  </fonts>
  <fills count="5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 style="double">
        <color rgb="FF0070C0"/>
      </right>
      <top/>
      <bottom/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thin">
        <color indexed="64"/>
      </bottom>
      <diagonal/>
    </border>
    <border>
      <left style="double">
        <color rgb="FF0070C0"/>
      </left>
      <right style="double">
        <color rgb="FF0070C0"/>
      </right>
      <top style="thin">
        <color indexed="64"/>
      </top>
      <bottom/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thin">
        <color indexed="64"/>
      </bottom>
      <diagonal/>
    </border>
    <border>
      <left style="double">
        <color theme="8" tint="-0.24994659260841701"/>
      </left>
      <right style="double">
        <color theme="8" tint="-0.24994659260841701"/>
      </right>
      <top style="thin">
        <color indexed="64"/>
      </top>
      <bottom/>
      <diagonal/>
    </border>
    <border>
      <left style="double">
        <color theme="8" tint="-0.24994659260841701"/>
      </left>
      <right style="double">
        <color theme="8" tint="-0.24994659260841701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06">
    <xf numFmtId="0" fontId="0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 applyNumberFormat="0"/>
    <xf numFmtId="9" fontId="13" fillId="0" borderId="0" applyFont="0" applyFill="0" applyBorder="0" applyAlignment="0" applyProtection="0"/>
    <xf numFmtId="0" fontId="13" fillId="0" borderId="0"/>
    <xf numFmtId="166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7" applyNumberFormat="0" applyFill="0" applyAlignment="0" applyProtection="0"/>
    <xf numFmtId="0" fontId="20" fillId="0" borderId="78" applyNumberFormat="0" applyFill="0" applyAlignment="0" applyProtection="0"/>
    <xf numFmtId="0" fontId="21" fillId="0" borderId="79" applyNumberFormat="0" applyFill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1" borderId="80" applyNumberFormat="0" applyAlignment="0" applyProtection="0"/>
    <xf numFmtId="0" fontId="25" fillId="22" borderId="81" applyNumberFormat="0" applyAlignment="0" applyProtection="0"/>
    <xf numFmtId="0" fontId="26" fillId="22" borderId="80" applyNumberFormat="0" applyAlignment="0" applyProtection="0"/>
    <xf numFmtId="0" fontId="27" fillId="0" borderId="82" applyNumberFormat="0" applyFill="0" applyAlignment="0" applyProtection="0"/>
    <xf numFmtId="0" fontId="28" fillId="23" borderId="8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85" applyNumberFormat="0" applyFill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3" fillId="20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1" fillId="44" borderId="0" applyNumberFormat="0" applyBorder="0" applyAlignment="0" applyProtection="0"/>
    <xf numFmtId="0" fontId="31" fillId="48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4" borderId="84" applyNumberFormat="0" applyFont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3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4" fillId="0" borderId="0">
      <alignment vertical="top"/>
    </xf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5" fillId="0" borderId="0"/>
    <xf numFmtId="0" fontId="13" fillId="0" borderId="0"/>
    <xf numFmtId="0" fontId="74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4" fillId="0" borderId="0">
      <alignment vertical="top"/>
    </xf>
    <xf numFmtId="0" fontId="7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7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75" fillId="0" borderId="0"/>
    <xf numFmtId="0" fontId="13" fillId="0" borderId="0"/>
    <xf numFmtId="0" fontId="1" fillId="0" borderId="0"/>
    <xf numFmtId="0" fontId="74" fillId="0" borderId="0">
      <alignment vertical="top"/>
    </xf>
    <xf numFmtId="0" fontId="1" fillId="0" borderId="0"/>
    <xf numFmtId="0" fontId="7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13" fillId="0" borderId="0"/>
    <xf numFmtId="0" fontId="1" fillId="0" borderId="0"/>
    <xf numFmtId="0" fontId="7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>
      <alignment vertical="top"/>
    </xf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9" fontId="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4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24" borderId="84" applyNumberFormat="0" applyFont="0" applyAlignment="0" applyProtection="0"/>
    <xf numFmtId="0" fontId="18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0" fontId="74" fillId="0" borderId="0">
      <alignment vertical="top"/>
    </xf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8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4" fillId="0" borderId="0">
      <alignment vertical="top"/>
    </xf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0" fontId="1" fillId="24" borderId="84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3">
    <xf numFmtId="0" fontId="0" fillId="0" borderId="0" xfId="0"/>
    <xf numFmtId="0" fontId="4" fillId="0" borderId="3" xfId="0" applyFont="1" applyBorder="1" applyProtection="1">
      <protection locked="0"/>
    </xf>
    <xf numFmtId="0" fontId="4" fillId="0" borderId="2" xfId="0" applyFont="1" applyBorder="1" applyProtection="1">
      <protection locked="0"/>
    </xf>
    <xf numFmtId="166" fontId="0" fillId="0" borderId="0" xfId="0" applyNumberFormat="1"/>
    <xf numFmtId="4" fontId="0" fillId="0" borderId="0" xfId="0" applyNumberFormat="1"/>
    <xf numFmtId="167" fontId="6" fillId="3" borderId="2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0" fontId="0" fillId="0" borderId="0" xfId="3" applyNumberFormat="1" applyFont="1"/>
    <xf numFmtId="9" fontId="0" fillId="0" borderId="0" xfId="3" applyFont="1"/>
    <xf numFmtId="1" fontId="7" fillId="4" borderId="16" xfId="0" applyNumberFormat="1" applyFont="1" applyFill="1" applyBorder="1" applyAlignment="1" applyProtection="1">
      <alignment horizontal="left"/>
      <protection locked="0"/>
    </xf>
    <xf numFmtId="0" fontId="7" fillId="4" borderId="16" xfId="0" applyFont="1" applyFill="1" applyBorder="1" applyAlignment="1" applyProtection="1">
      <alignment horizontal="left"/>
      <protection locked="0"/>
    </xf>
    <xf numFmtId="0" fontId="7" fillId="4" borderId="16" xfId="1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166" fontId="0" fillId="0" borderId="0" xfId="1" applyFont="1"/>
    <xf numFmtId="0" fontId="3" fillId="0" borderId="1" xfId="0" applyFont="1" applyBorder="1" applyAlignment="1" applyProtection="1">
      <alignment horizontal="left"/>
      <protection locked="0"/>
    </xf>
    <xf numFmtId="176" fontId="4" fillId="0" borderId="1" xfId="0" applyNumberFormat="1" applyFont="1" applyBorder="1" applyProtection="1">
      <protection locked="0"/>
    </xf>
    <xf numFmtId="0" fontId="16" fillId="0" borderId="58" xfId="0" applyFont="1" applyBorder="1"/>
    <xf numFmtId="0" fontId="0" fillId="0" borderId="0" xfId="0" pivotButton="1"/>
    <xf numFmtId="0" fontId="7" fillId="4" borderId="45" xfId="0" applyFont="1" applyFill="1" applyBorder="1" applyAlignment="1" applyProtection="1">
      <alignment horizontal="left"/>
      <protection locked="0"/>
    </xf>
    <xf numFmtId="14" fontId="7" fillId="4" borderId="13" xfId="1" applyNumberFormat="1" applyFont="1" applyFill="1" applyBorder="1" applyAlignment="1" applyProtection="1">
      <alignment horizontal="center"/>
      <protection locked="0"/>
    </xf>
    <xf numFmtId="4" fontId="17" fillId="0" borderId="4" xfId="1" applyNumberFormat="1" applyFont="1" applyBorder="1" applyAlignment="1">
      <alignment horizontal="right"/>
    </xf>
    <xf numFmtId="4" fontId="17" fillId="0" borderId="25" xfId="1" applyNumberFormat="1" applyFont="1" applyBorder="1" applyAlignment="1">
      <alignment horizontal="right"/>
    </xf>
    <xf numFmtId="164" fontId="14" fillId="0" borderId="48" xfId="2" applyFont="1" applyFill="1" applyBorder="1"/>
    <xf numFmtId="0" fontId="2" fillId="10" borderId="1" xfId="0" applyFont="1" applyFill="1" applyBorder="1"/>
    <xf numFmtId="164" fontId="2" fillId="10" borderId="2" xfId="2" applyFont="1" applyFill="1" applyBorder="1"/>
    <xf numFmtId="4" fontId="0" fillId="0" borderId="0" xfId="1" applyNumberFormat="1" applyFont="1"/>
    <xf numFmtId="167" fontId="7" fillId="0" borderId="16" xfId="1" applyNumberFormat="1" applyFont="1" applyFill="1" applyBorder="1" applyAlignment="1" applyProtection="1">
      <alignment horizontal="center"/>
    </xf>
    <xf numFmtId="167" fontId="6" fillId="3" borderId="7" xfId="1" applyNumberFormat="1" applyFont="1" applyFill="1" applyBorder="1" applyAlignment="1" applyProtection="1">
      <alignment horizontal="center" vertical="center"/>
      <protection locked="0"/>
    </xf>
    <xf numFmtId="167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67" fontId="6" fillId="3" borderId="55" xfId="1" applyNumberFormat="1" applyFont="1" applyFill="1" applyBorder="1" applyAlignment="1" applyProtection="1">
      <alignment horizontal="center" vertical="center" wrapText="1"/>
      <protection locked="0"/>
    </xf>
    <xf numFmtId="167" fontId="15" fillId="0" borderId="48" xfId="1" applyNumberFormat="1" applyFont="1" applyFill="1" applyBorder="1" applyAlignment="1" applyProtection="1">
      <protection locked="0"/>
    </xf>
    <xf numFmtId="167" fontId="15" fillId="4" borderId="48" xfId="1" applyNumberFormat="1" applyFont="1" applyFill="1" applyBorder="1" applyAlignment="1" applyProtection="1">
      <protection locked="0"/>
    </xf>
    <xf numFmtId="0" fontId="2" fillId="16" borderId="76" xfId="0" applyFont="1" applyFill="1" applyBorder="1" applyAlignment="1">
      <alignment horizontal="left"/>
    </xf>
    <xf numFmtId="0" fontId="2" fillId="16" borderId="75" xfId="0" applyFont="1" applyFill="1" applyBorder="1"/>
    <xf numFmtId="166" fontId="2" fillId="16" borderId="76" xfId="0" applyNumberFormat="1" applyFont="1" applyFill="1" applyBorder="1"/>
    <xf numFmtId="1" fontId="15" fillId="0" borderId="44" xfId="1" applyNumberFormat="1" applyFont="1" applyFill="1" applyBorder="1" applyAlignment="1" applyProtection="1">
      <protection locked="0"/>
    </xf>
    <xf numFmtId="4" fontId="15" fillId="0" borderId="44" xfId="0" applyNumberFormat="1" applyFont="1" applyBorder="1" applyAlignment="1" applyProtection="1">
      <alignment horizontal="left"/>
      <protection locked="0"/>
    </xf>
    <xf numFmtId="0" fontId="15" fillId="0" borderId="44" xfId="0" applyFont="1" applyBorder="1" applyAlignment="1" applyProtection="1">
      <alignment horizontal="left"/>
      <protection locked="0"/>
    </xf>
    <xf numFmtId="167" fontId="15" fillId="0" borderId="8" xfId="1" applyNumberFormat="1" applyFont="1" applyFill="1" applyBorder="1" applyAlignment="1" applyProtection="1">
      <protection locked="0"/>
    </xf>
    <xf numFmtId="167" fontId="15" fillId="4" borderId="8" xfId="1" applyNumberFormat="1" applyFont="1" applyFill="1" applyBorder="1" applyAlignment="1" applyProtection="1">
      <protection locked="0"/>
    </xf>
    <xf numFmtId="4" fontId="15" fillId="0" borderId="46" xfId="0" applyNumberFormat="1" applyFont="1" applyBorder="1" applyAlignment="1" applyProtection="1">
      <alignment horizontal="left"/>
      <protection locked="0"/>
    </xf>
    <xf numFmtId="166" fontId="2" fillId="16" borderId="76" xfId="1" applyFont="1" applyFill="1" applyBorder="1"/>
    <xf numFmtId="1" fontId="15" fillId="0" borderId="45" xfId="1" applyNumberFormat="1" applyFont="1" applyFill="1" applyBorder="1" applyAlignment="1" applyProtection="1">
      <protection locked="0"/>
    </xf>
    <xf numFmtId="4" fontId="15" fillId="0" borderId="47" xfId="0" applyNumberFormat="1" applyFont="1" applyBorder="1" applyAlignment="1" applyProtection="1">
      <alignment horizontal="left"/>
      <protection locked="0"/>
    </xf>
    <xf numFmtId="0" fontId="15" fillId="0" borderId="45" xfId="0" applyFont="1" applyBorder="1" applyAlignment="1" applyProtection="1">
      <alignment horizontal="left"/>
      <protection locked="0"/>
    </xf>
    <xf numFmtId="4" fontId="15" fillId="0" borderId="45" xfId="0" applyNumberFormat="1" applyFont="1" applyBorder="1" applyAlignment="1" applyProtection="1">
      <alignment horizontal="left"/>
      <protection locked="0"/>
    </xf>
    <xf numFmtId="167" fontId="15" fillId="0" borderId="47" xfId="1" applyNumberFormat="1" applyFont="1" applyFill="1" applyBorder="1" applyAlignment="1" applyProtection="1">
      <protection locked="0"/>
    </xf>
    <xf numFmtId="1" fontId="7" fillId="4" borderId="45" xfId="0" applyNumberFormat="1" applyFont="1" applyFill="1" applyBorder="1" applyAlignment="1" applyProtection="1">
      <alignment horizontal="left"/>
      <protection locked="0"/>
    </xf>
    <xf numFmtId="1" fontId="15" fillId="0" borderId="16" xfId="1" applyNumberFormat="1" applyFont="1" applyFill="1" applyBorder="1" applyAlignment="1" applyProtection="1">
      <protection locked="0"/>
    </xf>
    <xf numFmtId="0" fontId="7" fillId="4" borderId="47" xfId="1" applyNumberFormat="1" applyFont="1" applyFill="1" applyBorder="1" applyAlignment="1" applyProtection="1">
      <alignment horizontal="left"/>
      <protection locked="0"/>
    </xf>
    <xf numFmtId="4" fontId="15" fillId="0" borderId="16" xfId="0" applyNumberFormat="1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167" fontId="7" fillId="0" borderId="47" xfId="1" applyNumberFormat="1" applyFont="1" applyFill="1" applyBorder="1" applyAlignment="1" applyProtection="1">
      <protection locked="0"/>
    </xf>
    <xf numFmtId="167" fontId="15" fillId="17" borderId="48" xfId="1" applyNumberFormat="1" applyFont="1" applyFill="1" applyBorder="1" applyAlignment="1" applyProtection="1">
      <protection locked="0"/>
    </xf>
    <xf numFmtId="167" fontId="6" fillId="3" borderId="56" xfId="1" applyNumberFormat="1" applyFont="1" applyFill="1" applyBorder="1" applyAlignment="1" applyProtection="1">
      <alignment horizontal="center" vertical="center" wrapText="1"/>
      <protection locked="0"/>
    </xf>
    <xf numFmtId="167" fontId="15" fillId="0" borderId="9" xfId="1" applyNumberFormat="1" applyFont="1" applyFill="1" applyBorder="1" applyAlignment="1" applyProtection="1">
      <protection locked="0"/>
    </xf>
    <xf numFmtId="167" fontId="15" fillId="0" borderId="20" xfId="1" applyNumberFormat="1" applyFont="1" applyFill="1" applyBorder="1" applyAlignment="1" applyProtection="1">
      <protection locked="0"/>
    </xf>
    <xf numFmtId="167" fontId="7" fillId="0" borderId="15" xfId="1" applyNumberFormat="1" applyFont="1" applyFill="1" applyBorder="1" applyAlignment="1" applyProtection="1">
      <protection locked="0"/>
    </xf>
    <xf numFmtId="167" fontId="15" fillId="0" borderId="15" xfId="1" applyNumberFormat="1" applyFont="1" applyFill="1" applyBorder="1" applyAlignment="1" applyProtection="1">
      <protection locked="0"/>
    </xf>
    <xf numFmtId="170" fontId="15" fillId="0" borderId="13" xfId="0" applyNumberFormat="1" applyFont="1" applyBorder="1" applyAlignment="1" applyProtection="1">
      <alignment horizontal="center"/>
      <protection locked="0"/>
    </xf>
    <xf numFmtId="170" fontId="15" fillId="0" borderId="48" xfId="0" applyNumberFormat="1" applyFont="1" applyBorder="1" applyAlignment="1" applyProtection="1">
      <alignment horizontal="center"/>
      <protection locked="0"/>
    </xf>
    <xf numFmtId="14" fontId="7" fillId="4" borderId="48" xfId="1" applyNumberFormat="1" applyFont="1" applyFill="1" applyBorder="1" applyAlignment="1" applyProtection="1">
      <alignment horizontal="center"/>
      <protection locked="0"/>
    </xf>
    <xf numFmtId="167" fontId="34" fillId="4" borderId="16" xfId="1" applyNumberFormat="1" applyFont="1" applyFill="1" applyBorder="1" applyAlignment="1" applyProtection="1">
      <protection locked="0"/>
    </xf>
    <xf numFmtId="170" fontId="35" fillId="0" borderId="16" xfId="0" applyNumberFormat="1" applyFont="1" applyBorder="1" applyAlignment="1" applyProtection="1">
      <alignment horizontal="center"/>
      <protection locked="0"/>
    </xf>
    <xf numFmtId="166" fontId="35" fillId="0" borderId="16" xfId="1" applyFont="1" applyFill="1" applyBorder="1" applyAlignment="1" applyProtection="1">
      <alignment horizontal="right"/>
      <protection locked="0"/>
    </xf>
    <xf numFmtId="164" fontId="35" fillId="0" borderId="16" xfId="2" applyFont="1" applyFill="1" applyBorder="1" applyAlignment="1" applyProtection="1">
      <alignment horizontal="right"/>
      <protection locked="0"/>
    </xf>
    <xf numFmtId="0" fontId="35" fillId="0" borderId="16" xfId="0" applyFont="1" applyBorder="1"/>
    <xf numFmtId="0" fontId="35" fillId="0" borderId="16" xfId="0" applyFont="1" applyBorder="1" applyAlignment="1">
      <alignment horizontal="left"/>
    </xf>
    <xf numFmtId="14" fontId="35" fillId="0" borderId="16" xfId="1" applyNumberFormat="1" applyFont="1" applyFill="1" applyBorder="1" applyAlignment="1" applyProtection="1">
      <alignment horizontal="center"/>
      <protection locked="0"/>
    </xf>
    <xf numFmtId="14" fontId="35" fillId="0" borderId="16" xfId="0" applyNumberFormat="1" applyFont="1" applyBorder="1" applyAlignment="1">
      <alignment horizontal="center"/>
    </xf>
    <xf numFmtId="166" fontId="35" fillId="0" borderId="16" xfId="1" applyFont="1" applyFill="1" applyBorder="1" applyAlignment="1">
      <alignment horizontal="right"/>
    </xf>
    <xf numFmtId="164" fontId="35" fillId="0" borderId="16" xfId="2" applyFont="1" applyFill="1" applyBorder="1" applyAlignment="1">
      <alignment horizontal="right"/>
    </xf>
    <xf numFmtId="0" fontId="36" fillId="0" borderId="0" xfId="0" applyFont="1"/>
    <xf numFmtId="0" fontId="37" fillId="0" borderId="64" xfId="0" applyFont="1" applyBorder="1" applyAlignment="1">
      <alignment horizontal="center"/>
    </xf>
    <xf numFmtId="0" fontId="38" fillId="2" borderId="70" xfId="0" applyFont="1" applyFill="1" applyBorder="1" applyAlignment="1">
      <alignment horizontal="center"/>
    </xf>
    <xf numFmtId="0" fontId="36" fillId="0" borderId="71" xfId="0" applyFont="1" applyBorder="1"/>
    <xf numFmtId="169" fontId="36" fillId="0" borderId="71" xfId="1" applyNumberFormat="1" applyFont="1" applyBorder="1"/>
    <xf numFmtId="0" fontId="39" fillId="0" borderId="64" xfId="0" applyFont="1" applyBorder="1"/>
    <xf numFmtId="177" fontId="39" fillId="0" borderId="64" xfId="1" applyNumberFormat="1" applyFont="1" applyBorder="1" applyAlignment="1"/>
    <xf numFmtId="10" fontId="39" fillId="0" borderId="64" xfId="0" applyNumberFormat="1" applyFont="1" applyBorder="1" applyAlignment="1">
      <alignment horizontal="center"/>
    </xf>
    <xf numFmtId="177" fontId="39" fillId="0" borderId="64" xfId="0" applyNumberFormat="1" applyFont="1" applyBorder="1"/>
    <xf numFmtId="0" fontId="39" fillId="0" borderId="64" xfId="0" applyFont="1" applyBorder="1" applyAlignment="1">
      <alignment horizontal="center"/>
    </xf>
    <xf numFmtId="166" fontId="36" fillId="0" borderId="0" xfId="1" applyFont="1"/>
    <xf numFmtId="43" fontId="36" fillId="0" borderId="0" xfId="0" applyNumberFormat="1" applyFont="1"/>
    <xf numFmtId="0" fontId="36" fillId="0" borderId="72" xfId="0" applyFont="1" applyBorder="1"/>
    <xf numFmtId="169" fontId="36" fillId="0" borderId="72" xfId="1" applyNumberFormat="1" applyFont="1" applyBorder="1"/>
    <xf numFmtId="10" fontId="36" fillId="0" borderId="0" xfId="3" applyNumberFormat="1" applyFont="1"/>
    <xf numFmtId="177" fontId="39" fillId="0" borderId="64" xfId="0" applyNumberFormat="1" applyFont="1" applyBorder="1" applyAlignment="1">
      <alignment horizontal="center"/>
    </xf>
    <xf numFmtId="169" fontId="36" fillId="50" borderId="71" xfId="1" applyNumberFormat="1" applyFont="1" applyFill="1" applyBorder="1"/>
    <xf numFmtId="169" fontId="36" fillId="50" borderId="72" xfId="1" applyNumberFormat="1" applyFont="1" applyFill="1" applyBorder="1"/>
    <xf numFmtId="0" fontId="41" fillId="13" borderId="0" xfId="0" applyFont="1" applyFill="1" applyAlignment="1">
      <alignment horizontal="center"/>
    </xf>
    <xf numFmtId="0" fontId="41" fillId="13" borderId="0" xfId="0" applyFont="1" applyFill="1" applyAlignment="1">
      <alignment horizontal="center" wrapText="1"/>
    </xf>
    <xf numFmtId="0" fontId="42" fillId="2" borderId="67" xfId="0" applyFont="1" applyFill="1" applyBorder="1" applyAlignment="1">
      <alignment horizontal="center" vertical="center" wrapText="1"/>
    </xf>
    <xf numFmtId="0" fontId="42" fillId="2" borderId="67" xfId="0" applyFont="1" applyFill="1" applyBorder="1" applyAlignment="1">
      <alignment horizontal="center" wrapText="1"/>
    </xf>
    <xf numFmtId="0" fontId="43" fillId="4" borderId="0" xfId="0" applyFont="1" applyFill="1"/>
    <xf numFmtId="168" fontId="43" fillId="4" borderId="0" xfId="0" applyNumberFormat="1" applyFont="1" applyFill="1" applyAlignment="1">
      <alignment horizontal="right"/>
    </xf>
    <xf numFmtId="168" fontId="43" fillId="12" borderId="0" xfId="0" applyNumberFormat="1" applyFont="1" applyFill="1" applyAlignment="1">
      <alignment horizontal="right"/>
    </xf>
    <xf numFmtId="10" fontId="43" fillId="4" borderId="0" xfId="6" applyNumberFormat="1" applyFont="1" applyFill="1" applyBorder="1" applyAlignment="1">
      <alignment horizontal="center"/>
    </xf>
    <xf numFmtId="166" fontId="36" fillId="12" borderId="0" xfId="1" applyFont="1" applyFill="1" applyAlignment="1">
      <alignment horizontal="right"/>
    </xf>
    <xf numFmtId="165" fontId="36" fillId="0" borderId="0" xfId="0" applyNumberFormat="1" applyFont="1"/>
    <xf numFmtId="0" fontId="44" fillId="0" borderId="68" xfId="0" applyFont="1" applyBorder="1" applyAlignment="1">
      <alignment horizontal="center"/>
    </xf>
    <xf numFmtId="166" fontId="44" fillId="0" borderId="68" xfId="1" applyFont="1" applyBorder="1"/>
    <xf numFmtId="9" fontId="36" fillId="0" borderId="68" xfId="3" applyFont="1" applyBorder="1" applyAlignment="1">
      <alignment horizontal="center"/>
    </xf>
    <xf numFmtId="166" fontId="36" fillId="0" borderId="0" xfId="1" applyFont="1" applyAlignment="1">
      <alignment horizontal="right"/>
    </xf>
    <xf numFmtId="0" fontId="44" fillId="0" borderId="69" xfId="0" applyFont="1" applyBorder="1" applyAlignment="1">
      <alignment horizontal="center"/>
    </xf>
    <xf numFmtId="166" fontId="44" fillId="0" borderId="69" xfId="1" applyFont="1" applyBorder="1"/>
    <xf numFmtId="9" fontId="36" fillId="0" borderId="69" xfId="3" applyFont="1" applyBorder="1" applyAlignment="1">
      <alignment horizontal="center"/>
    </xf>
    <xf numFmtId="0" fontId="41" fillId="13" borderId="0" xfId="0" applyFont="1" applyFill="1"/>
    <xf numFmtId="168" fontId="41" fillId="13" borderId="0" xfId="0" applyNumberFormat="1" applyFont="1" applyFill="1" applyAlignment="1">
      <alignment horizontal="right"/>
    </xf>
    <xf numFmtId="166" fontId="41" fillId="13" borderId="0" xfId="1" applyFont="1" applyFill="1" applyBorder="1" applyAlignment="1">
      <alignment horizontal="right"/>
    </xf>
    <xf numFmtId="9" fontId="36" fillId="0" borderId="0" xfId="3" applyFont="1"/>
    <xf numFmtId="0" fontId="45" fillId="4" borderId="0" xfId="0" applyFont="1" applyFill="1"/>
    <xf numFmtId="168" fontId="45" fillId="4" borderId="0" xfId="0" applyNumberFormat="1" applyFont="1" applyFill="1" applyAlignment="1">
      <alignment horizontal="right"/>
    </xf>
    <xf numFmtId="166" fontId="44" fillId="0" borderId="69" xfId="1" applyFont="1" applyFill="1" applyBorder="1"/>
    <xf numFmtId="9" fontId="36" fillId="0" borderId="69" xfId="3" applyFont="1" applyFill="1" applyBorder="1" applyAlignment="1">
      <alignment horizontal="center"/>
    </xf>
    <xf numFmtId="166" fontId="41" fillId="13" borderId="0" xfId="1" applyFont="1" applyFill="1" applyBorder="1" applyAlignment="1">
      <alignment horizontal="center" wrapText="1"/>
    </xf>
    <xf numFmtId="168" fontId="46" fillId="4" borderId="0" xfId="0" applyNumberFormat="1" applyFont="1" applyFill="1" applyAlignment="1">
      <alignment horizontal="right"/>
    </xf>
    <xf numFmtId="0" fontId="36" fillId="4" borderId="0" xfId="0" applyFont="1" applyFill="1"/>
    <xf numFmtId="166" fontId="42" fillId="0" borderId="0" xfId="0" applyNumberFormat="1" applyFont="1"/>
    <xf numFmtId="0" fontId="44" fillId="0" borderId="69" xfId="0" applyFont="1" applyBorder="1" applyAlignment="1">
      <alignment horizontal="center" vertical="center"/>
    </xf>
    <xf numFmtId="166" fontId="44" fillId="0" borderId="69" xfId="1" applyFont="1" applyFill="1" applyBorder="1" applyAlignment="1">
      <alignment vertical="center"/>
    </xf>
    <xf numFmtId="9" fontId="36" fillId="0" borderId="69" xfId="3" applyFont="1" applyFill="1" applyBorder="1" applyAlignment="1">
      <alignment horizontal="center" vertical="center"/>
    </xf>
    <xf numFmtId="168" fontId="36" fillId="0" borderId="0" xfId="0" applyNumberFormat="1" applyFont="1"/>
    <xf numFmtId="0" fontId="42" fillId="0" borderId="73" xfId="0" applyFont="1" applyBorder="1" applyAlignment="1">
      <alignment horizontal="center"/>
    </xf>
    <xf numFmtId="166" fontId="42" fillId="0" borderId="73" xfId="1" applyFont="1" applyBorder="1"/>
    <xf numFmtId="9" fontId="42" fillId="0" borderId="73" xfId="3" applyFont="1" applyBorder="1" applyAlignment="1">
      <alignment horizontal="center"/>
    </xf>
    <xf numFmtId="0" fontId="46" fillId="4" borderId="0" xfId="0" applyFont="1" applyFill="1"/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justify" vertical="center"/>
    </xf>
    <xf numFmtId="0" fontId="48" fillId="15" borderId="62" xfId="0" applyFont="1" applyFill="1" applyBorder="1" applyAlignment="1">
      <alignment horizontal="center" vertical="center" wrapText="1"/>
    </xf>
    <xf numFmtId="0" fontId="48" fillId="15" borderId="62" xfId="0" applyFont="1" applyFill="1" applyBorder="1" applyAlignment="1">
      <alignment horizontal="center" wrapText="1"/>
    </xf>
    <xf numFmtId="0" fontId="48" fillId="15" borderId="65" xfId="0" applyFont="1" applyFill="1" applyBorder="1" applyAlignment="1">
      <alignment horizontal="center" vertical="center" wrapText="1"/>
    </xf>
    <xf numFmtId="0" fontId="46" fillId="0" borderId="66" xfId="0" applyFont="1" applyBorder="1" applyAlignment="1">
      <alignment horizontal="center"/>
    </xf>
    <xf numFmtId="166" fontId="46" fillId="0" borderId="66" xfId="1" applyFont="1" applyBorder="1"/>
    <xf numFmtId="10" fontId="46" fillId="0" borderId="63" xfId="1" applyNumberFormat="1" applyFont="1" applyBorder="1" applyAlignment="1">
      <alignment horizontal="center"/>
    </xf>
    <xf numFmtId="10" fontId="46" fillId="0" borderId="63" xfId="3" applyNumberFormat="1" applyFont="1" applyBorder="1" applyAlignment="1">
      <alignment horizontal="center"/>
    </xf>
    <xf numFmtId="0" fontId="46" fillId="0" borderId="63" xfId="0" applyFont="1" applyBorder="1" applyAlignment="1">
      <alignment horizontal="center"/>
    </xf>
    <xf numFmtId="166" fontId="46" fillId="0" borderId="63" xfId="1" applyFont="1" applyBorder="1"/>
    <xf numFmtId="0" fontId="48" fillId="15" borderId="74" xfId="0" applyFont="1" applyFill="1" applyBorder="1" applyAlignment="1">
      <alignment horizontal="center"/>
    </xf>
    <xf numFmtId="177" fontId="48" fillId="15" borderId="74" xfId="1" applyNumberFormat="1" applyFont="1" applyFill="1" applyBorder="1"/>
    <xf numFmtId="166" fontId="48" fillId="15" borderId="74" xfId="0" applyNumberFormat="1" applyFont="1" applyFill="1" applyBorder="1"/>
    <xf numFmtId="174" fontId="43" fillId="4" borderId="0" xfId="6" applyNumberFormat="1" applyFont="1" applyFill="1" applyBorder="1" applyAlignment="1">
      <alignment horizontal="center"/>
    </xf>
    <xf numFmtId="175" fontId="36" fillId="0" borderId="0" xfId="0" applyNumberFormat="1" applyFont="1"/>
    <xf numFmtId="168" fontId="43" fillId="0" borderId="0" xfId="0" applyNumberFormat="1" applyFont="1" applyAlignment="1">
      <alignment horizontal="right"/>
    </xf>
    <xf numFmtId="10" fontId="48" fillId="15" borderId="74" xfId="3" applyNumberFormat="1" applyFont="1" applyFill="1" applyBorder="1" applyAlignment="1">
      <alignment horizontal="center"/>
    </xf>
    <xf numFmtId="0" fontId="49" fillId="0" borderId="0" xfId="0" applyFont="1"/>
    <xf numFmtId="0" fontId="50" fillId="0" borderId="1" xfId="0" applyFont="1" applyBorder="1" applyAlignment="1" applyProtection="1">
      <alignment horizontal="left"/>
      <protection locked="0"/>
    </xf>
    <xf numFmtId="0" fontId="50" fillId="0" borderId="49" xfId="0" applyFont="1" applyBorder="1" applyProtection="1">
      <protection locked="0"/>
    </xf>
    <xf numFmtId="0" fontId="50" fillId="0" borderId="3" xfId="0" applyFont="1" applyBorder="1" applyProtection="1">
      <protection locked="0"/>
    </xf>
    <xf numFmtId="0" fontId="50" fillId="0" borderId="2" xfId="0" applyFont="1" applyBorder="1" applyProtection="1">
      <protection locked="0"/>
    </xf>
    <xf numFmtId="0" fontId="50" fillId="6" borderId="15" xfId="0" applyFont="1" applyFill="1" applyBorder="1" applyProtection="1">
      <protection locked="0"/>
    </xf>
    <xf numFmtId="0" fontId="52" fillId="0" borderId="5" xfId="0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3" fillId="0" borderId="2" xfId="0" applyFont="1" applyBorder="1" applyAlignment="1">
      <alignment horizontal="left"/>
    </xf>
    <xf numFmtId="166" fontId="38" fillId="10" borderId="7" xfId="1" applyFont="1" applyFill="1" applyBorder="1" applyAlignment="1"/>
    <xf numFmtId="166" fontId="38" fillId="10" borderId="8" xfId="1" applyFont="1" applyFill="1" applyBorder="1"/>
    <xf numFmtId="167" fontId="45" fillId="3" borderId="6" xfId="1" applyNumberFormat="1" applyFont="1" applyFill="1" applyBorder="1" applyAlignment="1" applyProtection="1">
      <alignment horizontal="center" vertical="justify"/>
      <protection locked="0"/>
    </xf>
    <xf numFmtId="167" fontId="45" fillId="3" borderId="6" xfId="1" applyNumberFormat="1" applyFont="1" applyFill="1" applyBorder="1" applyAlignment="1" applyProtection="1">
      <alignment horizontal="center"/>
      <protection locked="0"/>
    </xf>
    <xf numFmtId="167" fontId="45" fillId="3" borderId="4" xfId="1" applyNumberFormat="1" applyFont="1" applyFill="1" applyBorder="1" applyAlignment="1" applyProtection="1">
      <alignment horizontal="center"/>
      <protection locked="0"/>
    </xf>
    <xf numFmtId="167" fontId="45" fillId="0" borderId="0" xfId="1" applyNumberFormat="1" applyFont="1" applyFill="1" applyBorder="1" applyAlignment="1">
      <alignment horizontal="left"/>
    </xf>
    <xf numFmtId="3" fontId="54" fillId="0" borderId="50" xfId="1" applyNumberFormat="1" applyFont="1" applyFill="1" applyBorder="1" applyAlignment="1" applyProtection="1">
      <alignment horizontal="center"/>
      <protection locked="0"/>
    </xf>
    <xf numFmtId="4" fontId="54" fillId="0" borderId="8" xfId="0" applyNumberFormat="1" applyFont="1" applyBorder="1" applyAlignment="1" applyProtection="1">
      <alignment horizontal="left"/>
      <protection locked="0"/>
    </xf>
    <xf numFmtId="4" fontId="54" fillId="0" borderId="51" xfId="0" applyNumberFormat="1" applyFont="1" applyBorder="1" applyAlignment="1" applyProtection="1">
      <alignment horizontal="left"/>
      <protection locked="0"/>
    </xf>
    <xf numFmtId="170" fontId="54" fillId="0" borderId="8" xfId="0" applyNumberFormat="1" applyFont="1" applyBorder="1" applyAlignment="1" applyProtection="1">
      <alignment horizontal="center"/>
      <protection locked="0"/>
    </xf>
    <xf numFmtId="170" fontId="54" fillId="0" borderId="51" xfId="0" applyNumberFormat="1" applyFont="1" applyBorder="1" applyAlignment="1" applyProtection="1">
      <alignment horizontal="center"/>
      <protection locked="0"/>
    </xf>
    <xf numFmtId="168" fontId="54" fillId="0" borderId="51" xfId="1" applyNumberFormat="1" applyFont="1" applyFill="1" applyBorder="1" applyAlignment="1" applyProtection="1">
      <alignment horizontal="right"/>
      <protection locked="0"/>
    </xf>
    <xf numFmtId="168" fontId="54" fillId="0" borderId="8" xfId="1" applyNumberFormat="1" applyFont="1" applyFill="1" applyBorder="1" applyAlignment="1" applyProtection="1">
      <alignment horizontal="right"/>
      <protection locked="0"/>
    </xf>
    <xf numFmtId="168" fontId="54" fillId="0" borderId="8" xfId="1" applyNumberFormat="1" applyFont="1" applyBorder="1" applyAlignment="1" applyProtection="1">
      <alignment horizontal="right"/>
    </xf>
    <xf numFmtId="168" fontId="54" fillId="0" borderId="9" xfId="1" applyNumberFormat="1" applyFont="1" applyFill="1" applyBorder="1" applyAlignment="1" applyProtection="1">
      <alignment horizontal="right"/>
      <protection locked="0"/>
    </xf>
    <xf numFmtId="166" fontId="36" fillId="0" borderId="48" xfId="1" applyFont="1" applyFill="1" applyBorder="1"/>
    <xf numFmtId="3" fontId="54" fillId="0" borderId="44" xfId="1" applyNumberFormat="1" applyFont="1" applyFill="1" applyBorder="1" applyAlignment="1" applyProtection="1">
      <alignment horizontal="center"/>
      <protection locked="0"/>
    </xf>
    <xf numFmtId="4" fontId="54" fillId="0" borderId="13" xfId="0" applyNumberFormat="1" applyFont="1" applyBorder="1" applyAlignment="1" applyProtection="1">
      <alignment horizontal="left"/>
      <protection locked="0"/>
    </xf>
    <xf numFmtId="4" fontId="54" fillId="0" borderId="45" xfId="0" applyNumberFormat="1" applyFont="1" applyBorder="1" applyAlignment="1" applyProtection="1">
      <alignment horizontal="left"/>
      <protection locked="0"/>
    </xf>
    <xf numFmtId="170" fontId="54" fillId="0" borderId="13" xfId="0" applyNumberFormat="1" applyFont="1" applyBorder="1" applyAlignment="1" applyProtection="1">
      <alignment horizontal="center"/>
      <protection locked="0"/>
    </xf>
    <xf numFmtId="170" fontId="54" fillId="0" borderId="45" xfId="0" applyNumberFormat="1" applyFont="1" applyBorder="1" applyAlignment="1" applyProtection="1">
      <alignment horizontal="center"/>
      <protection locked="0"/>
    </xf>
    <xf numFmtId="168" fontId="54" fillId="0" borderId="13" xfId="1" applyNumberFormat="1" applyFont="1" applyFill="1" applyBorder="1" applyAlignment="1" applyProtection="1">
      <alignment horizontal="right"/>
      <protection locked="0"/>
    </xf>
    <xf numFmtId="168" fontId="54" fillId="0" borderId="45" xfId="1" applyNumberFormat="1" applyFont="1" applyFill="1" applyBorder="1" applyAlignment="1" applyProtection="1">
      <alignment horizontal="right"/>
      <protection locked="0"/>
    </xf>
    <xf numFmtId="168" fontId="54" fillId="0" borderId="13" xfId="1" applyNumberFormat="1" applyFont="1" applyBorder="1" applyAlignment="1" applyProtection="1">
      <alignment horizontal="right"/>
    </xf>
    <xf numFmtId="168" fontId="54" fillId="0" borderId="14" xfId="1" applyNumberFormat="1" applyFont="1" applyFill="1" applyBorder="1" applyAlignment="1" applyProtection="1">
      <alignment horizontal="right"/>
      <protection locked="0"/>
    </xf>
    <xf numFmtId="166" fontId="36" fillId="0" borderId="13" xfId="1" applyFont="1" applyFill="1" applyBorder="1"/>
    <xf numFmtId="14" fontId="54" fillId="0" borderId="13" xfId="0" applyNumberFormat="1" applyFont="1" applyBorder="1" applyAlignment="1" applyProtection="1">
      <alignment horizontal="center"/>
      <protection locked="0"/>
    </xf>
    <xf numFmtId="14" fontId="54" fillId="0" borderId="45" xfId="0" applyNumberFormat="1" applyFont="1" applyBorder="1" applyAlignment="1" applyProtection="1">
      <alignment horizontal="center"/>
      <protection locked="0"/>
    </xf>
    <xf numFmtId="167" fontId="54" fillId="0" borderId="0" xfId="1" applyNumberFormat="1" applyFont="1" applyBorder="1" applyAlignment="1">
      <alignment horizontal="center"/>
    </xf>
    <xf numFmtId="0" fontId="54" fillId="0" borderId="0" xfId="0" applyFont="1"/>
    <xf numFmtId="166" fontId="54" fillId="0" borderId="13" xfId="1" applyFont="1" applyFill="1" applyBorder="1" applyAlignment="1" applyProtection="1">
      <alignment horizontal="left"/>
      <protection locked="0"/>
    </xf>
    <xf numFmtId="0" fontId="54" fillId="0" borderId="45" xfId="0" applyFont="1" applyBorder="1" applyAlignment="1" applyProtection="1">
      <alignment horizontal="left"/>
      <protection locked="0"/>
    </xf>
    <xf numFmtId="0" fontId="54" fillId="0" borderId="13" xfId="0" applyFont="1" applyBorder="1" applyProtection="1">
      <protection locked="0"/>
    </xf>
    <xf numFmtId="166" fontId="54" fillId="0" borderId="45" xfId="1" applyFont="1" applyFill="1" applyBorder="1" applyAlignment="1" applyProtection="1">
      <protection locked="0"/>
    </xf>
    <xf numFmtId="14" fontId="54" fillId="0" borderId="13" xfId="1" applyNumberFormat="1" applyFont="1" applyFill="1" applyBorder="1" applyAlignment="1" applyProtection="1">
      <alignment horizontal="center"/>
      <protection locked="0"/>
    </xf>
    <xf numFmtId="14" fontId="54" fillId="0" borderId="45" xfId="1" applyNumberFormat="1" applyFont="1" applyFill="1" applyBorder="1" applyAlignment="1" applyProtection="1">
      <alignment horizontal="center"/>
      <protection locked="0"/>
    </xf>
    <xf numFmtId="0" fontId="54" fillId="0" borderId="13" xfId="0" applyFont="1" applyBorder="1" applyAlignment="1" applyProtection="1">
      <alignment horizontal="left"/>
      <protection locked="0"/>
    </xf>
    <xf numFmtId="170" fontId="54" fillId="0" borderId="45" xfId="0" applyNumberFormat="1" applyFont="1" applyBorder="1" applyAlignment="1" applyProtection="1">
      <alignment horizontal="left"/>
      <protection locked="0"/>
    </xf>
    <xf numFmtId="167" fontId="45" fillId="3" borderId="52" xfId="1" applyNumberFormat="1" applyFont="1" applyFill="1" applyBorder="1" applyAlignment="1" applyProtection="1">
      <alignment horizontal="center" vertical="justify"/>
      <protection locked="0"/>
    </xf>
    <xf numFmtId="167" fontId="45" fillId="3" borderId="18" xfId="1" applyNumberFormat="1" applyFont="1" applyFill="1" applyBorder="1" applyAlignment="1" applyProtection="1">
      <alignment horizontal="center"/>
      <protection locked="0"/>
    </xf>
    <xf numFmtId="167" fontId="45" fillId="3" borderId="53" xfId="1" applyNumberFormat="1" applyFont="1" applyFill="1" applyBorder="1" applyAlignment="1" applyProtection="1">
      <alignment horizontal="center"/>
      <protection locked="0"/>
    </xf>
    <xf numFmtId="167" fontId="45" fillId="3" borderId="53" xfId="1" applyNumberFormat="1" applyFont="1" applyFill="1" applyBorder="1" applyAlignment="1" applyProtection="1">
      <alignment horizontal="center" vertical="justify"/>
      <protection locked="0"/>
    </xf>
    <xf numFmtId="167" fontId="45" fillId="3" borderId="19" xfId="1" applyNumberFormat="1" applyFont="1" applyFill="1" applyBorder="1" applyAlignment="1" applyProtection="1">
      <alignment horizontal="center"/>
      <protection locked="0"/>
    </xf>
    <xf numFmtId="0" fontId="36" fillId="0" borderId="13" xfId="0" applyFont="1" applyBorder="1"/>
    <xf numFmtId="167" fontId="55" fillId="0" borderId="25" xfId="1" applyNumberFormat="1" applyFont="1" applyBorder="1" applyAlignment="1" applyProtection="1">
      <alignment horizontal="center"/>
      <protection locked="0"/>
    </xf>
    <xf numFmtId="168" fontId="55" fillId="0" borderId="43" xfId="1" applyNumberFormat="1" applyFont="1" applyBorder="1" applyAlignment="1" applyProtection="1">
      <alignment horizontal="right"/>
      <protection locked="0"/>
    </xf>
    <xf numFmtId="166" fontId="38" fillId="0" borderId="18" xfId="0" applyNumberFormat="1" applyFont="1" applyBorder="1"/>
    <xf numFmtId="166" fontId="36" fillId="0" borderId="0" xfId="1" applyFont="1" applyBorder="1"/>
    <xf numFmtId="0" fontId="50" fillId="0" borderId="1" xfId="0" applyFont="1" applyBorder="1" applyProtection="1">
      <protection locked="0"/>
    </xf>
    <xf numFmtId="0" fontId="50" fillId="0" borderId="1" xfId="0" applyFont="1" applyBorder="1"/>
    <xf numFmtId="0" fontId="50" fillId="0" borderId="3" xfId="0" applyFont="1" applyBorder="1"/>
    <xf numFmtId="0" fontId="50" fillId="0" borderId="2" xfId="0" applyFont="1" applyBorder="1"/>
    <xf numFmtId="166" fontId="49" fillId="0" borderId="0" xfId="1" applyFont="1" applyBorder="1"/>
    <xf numFmtId="0" fontId="50" fillId="2" borderId="4" xfId="0" applyFont="1" applyFill="1" applyBorder="1" applyProtection="1">
      <protection locked="0"/>
    </xf>
    <xf numFmtId="0" fontId="51" fillId="0" borderId="5" xfId="0" applyFont="1" applyBorder="1" applyAlignment="1">
      <alignment horizontal="left"/>
    </xf>
    <xf numFmtId="0" fontId="51" fillId="0" borderId="3" xfId="0" applyFont="1" applyBorder="1" applyAlignment="1">
      <alignment horizontal="left"/>
    </xf>
    <xf numFmtId="166" fontId="38" fillId="10" borderId="0" xfId="1" applyFont="1" applyFill="1" applyBorder="1" applyAlignment="1"/>
    <xf numFmtId="166" fontId="38" fillId="10" borderId="0" xfId="1" applyFont="1" applyFill="1" applyBorder="1"/>
    <xf numFmtId="167" fontId="45" fillId="3" borderId="25" xfId="1" applyNumberFormat="1" applyFont="1" applyFill="1" applyBorder="1" applyAlignment="1" applyProtection="1">
      <alignment horizontal="center" vertical="justify"/>
      <protection locked="0"/>
    </xf>
    <xf numFmtId="167" fontId="45" fillId="3" borderId="25" xfId="1" applyNumberFormat="1" applyFont="1" applyFill="1" applyBorder="1" applyAlignment="1" applyProtection="1">
      <alignment horizontal="center"/>
      <protection locked="0"/>
    </xf>
    <xf numFmtId="167" fontId="45" fillId="3" borderId="25" xfId="1" applyNumberFormat="1" applyFont="1" applyFill="1" applyBorder="1" applyAlignment="1" applyProtection="1">
      <alignment horizontal="center" wrapText="1"/>
      <protection locked="0"/>
    </xf>
    <xf numFmtId="167" fontId="45" fillId="3" borderId="16" xfId="1" applyNumberFormat="1" applyFont="1" applyFill="1" applyBorder="1" applyAlignment="1" applyProtection="1">
      <alignment horizontal="center"/>
      <protection locked="0"/>
    </xf>
    <xf numFmtId="166" fontId="36" fillId="0" borderId="0" xfId="1" applyFont="1" applyFill="1" applyBorder="1"/>
    <xf numFmtId="1" fontId="43" fillId="0" borderId="44" xfId="1" applyNumberFormat="1" applyFont="1" applyFill="1" applyBorder="1" applyAlignment="1" applyProtection="1">
      <alignment horizontal="left"/>
      <protection locked="0"/>
    </xf>
    <xf numFmtId="4" fontId="43" fillId="0" borderId="44" xfId="0" applyNumberFormat="1" applyFont="1" applyBorder="1" applyAlignment="1" applyProtection="1">
      <alignment horizontal="left"/>
      <protection locked="0"/>
    </xf>
    <xf numFmtId="0" fontId="43" fillId="0" borderId="44" xfId="0" applyFont="1" applyBorder="1" applyAlignment="1" applyProtection="1">
      <alignment horizontal="left"/>
      <protection locked="0"/>
    </xf>
    <xf numFmtId="4" fontId="43" fillId="0" borderId="13" xfId="0" applyNumberFormat="1" applyFont="1" applyBorder="1" applyAlignment="1" applyProtection="1">
      <alignment horizontal="left"/>
      <protection locked="0"/>
    </xf>
    <xf numFmtId="14" fontId="43" fillId="0" borderId="45" xfId="0" applyNumberFormat="1" applyFont="1" applyBorder="1" applyAlignment="1" applyProtection="1">
      <alignment horizontal="center"/>
      <protection locked="0"/>
    </xf>
    <xf numFmtId="14" fontId="43" fillId="0" borderId="44" xfId="0" applyNumberFormat="1" applyFont="1" applyBorder="1" applyAlignment="1" applyProtection="1">
      <alignment horizontal="center"/>
      <protection locked="0"/>
    </xf>
    <xf numFmtId="167" fontId="43" fillId="0" borderId="8" xfId="1" applyNumberFormat="1" applyFont="1" applyFill="1" applyBorder="1" applyAlignment="1" applyProtection="1">
      <protection locked="0"/>
    </xf>
    <xf numFmtId="167" fontId="43" fillId="0" borderId="13" xfId="1" applyNumberFormat="1" applyFont="1" applyBorder="1" applyAlignment="1" applyProtection="1">
      <alignment horizontal="center"/>
    </xf>
    <xf numFmtId="166" fontId="36" fillId="0" borderId="16" xfId="1" applyFont="1" applyBorder="1"/>
    <xf numFmtId="0" fontId="43" fillId="0" borderId="46" xfId="1" applyNumberFormat="1" applyFont="1" applyFill="1" applyBorder="1" applyAlignment="1" applyProtection="1">
      <alignment horizontal="left"/>
      <protection locked="0"/>
    </xf>
    <xf numFmtId="14" fontId="43" fillId="0" borderId="47" xfId="0" applyNumberFormat="1" applyFont="1" applyBorder="1" applyAlignment="1" applyProtection="1">
      <alignment horizontal="center"/>
      <protection locked="0"/>
    </xf>
    <xf numFmtId="14" fontId="43" fillId="0" borderId="48" xfId="0" applyNumberFormat="1" applyFont="1" applyBorder="1" applyAlignment="1" applyProtection="1">
      <alignment horizontal="center"/>
      <protection locked="0"/>
    </xf>
    <xf numFmtId="14" fontId="43" fillId="0" borderId="46" xfId="0" applyNumberFormat="1" applyFont="1" applyBorder="1" applyAlignment="1" applyProtection="1">
      <alignment horizontal="center"/>
      <protection locked="0"/>
    </xf>
    <xf numFmtId="167" fontId="43" fillId="0" borderId="13" xfId="1" applyNumberFormat="1" applyFont="1" applyFill="1" applyBorder="1" applyAlignment="1" applyProtection="1">
      <protection locked="0"/>
    </xf>
    <xf numFmtId="166" fontId="36" fillId="0" borderId="16" xfId="1" applyFont="1" applyFill="1" applyBorder="1"/>
    <xf numFmtId="0" fontId="43" fillId="0" borderId="13" xfId="0" applyFont="1" applyBorder="1" applyAlignment="1" applyProtection="1">
      <alignment horizontal="left"/>
      <protection locked="0"/>
    </xf>
    <xf numFmtId="167" fontId="45" fillId="0" borderId="13" xfId="1" applyNumberFormat="1" applyFont="1" applyFill="1" applyBorder="1" applyAlignment="1" applyProtection="1">
      <alignment horizontal="center"/>
      <protection locked="0"/>
    </xf>
    <xf numFmtId="1" fontId="43" fillId="0" borderId="44" xfId="0" applyNumberFormat="1" applyFont="1" applyBorder="1" applyAlignment="1" applyProtection="1">
      <alignment horizontal="left"/>
      <protection locked="0"/>
    </xf>
    <xf numFmtId="14" fontId="43" fillId="0" borderId="45" xfId="1" applyNumberFormat="1" applyFont="1" applyFill="1" applyBorder="1" applyAlignment="1" applyProtection="1">
      <alignment horizontal="center"/>
      <protection locked="0"/>
    </xf>
    <xf numFmtId="14" fontId="43" fillId="0" borderId="44" xfId="1" applyNumberFormat="1" applyFont="1" applyFill="1" applyBorder="1" applyAlignment="1" applyProtection="1">
      <alignment horizontal="center"/>
      <protection locked="0"/>
    </xf>
    <xf numFmtId="167" fontId="43" fillId="4" borderId="13" xfId="1" applyNumberFormat="1" applyFont="1" applyFill="1" applyBorder="1" applyAlignment="1" applyProtection="1">
      <protection locked="0"/>
    </xf>
    <xf numFmtId="167" fontId="43" fillId="4" borderId="13" xfId="1" applyNumberFormat="1" applyFont="1" applyFill="1" applyBorder="1" applyAlignment="1" applyProtection="1">
      <alignment horizontal="center"/>
    </xf>
    <xf numFmtId="14" fontId="43" fillId="0" borderId="47" xfId="1" applyNumberFormat="1" applyFont="1" applyFill="1" applyBorder="1" applyAlignment="1" applyProtection="1">
      <alignment horizontal="center"/>
      <protection locked="0"/>
    </xf>
    <xf numFmtId="167" fontId="45" fillId="0" borderId="25" xfId="1" applyNumberFormat="1" applyFont="1" applyBorder="1" applyAlignment="1" applyProtection="1">
      <alignment horizontal="center"/>
      <protection locked="0"/>
    </xf>
    <xf numFmtId="167" fontId="45" fillId="0" borderId="2" xfId="1" applyNumberFormat="1" applyFont="1" applyBorder="1" applyAlignment="1" applyProtection="1">
      <alignment horizontal="center"/>
      <protection locked="0"/>
    </xf>
    <xf numFmtId="166" fontId="38" fillId="0" borderId="16" xfId="1" applyFont="1" applyBorder="1"/>
    <xf numFmtId="0" fontId="54" fillId="0" borderId="0" xfId="0" applyFont="1" applyAlignment="1" applyProtection="1">
      <alignment horizontal="left"/>
      <protection locked="0"/>
    </xf>
    <xf numFmtId="169" fontId="55" fillId="0" borderId="0" xfId="0" applyNumberFormat="1" applyFont="1" applyAlignment="1">
      <alignment horizontal="right"/>
    </xf>
    <xf numFmtId="166" fontId="54" fillId="0" borderId="0" xfId="1" applyFont="1" applyBorder="1"/>
    <xf numFmtId="0" fontId="51" fillId="0" borderId="0" xfId="0" applyFont="1" applyProtection="1">
      <protection locked="0"/>
    </xf>
    <xf numFmtId="0" fontId="36" fillId="0" borderId="0" xfId="0" applyFont="1" applyProtection="1">
      <protection locked="0"/>
    </xf>
    <xf numFmtId="167" fontId="36" fillId="0" borderId="0" xfId="0" applyNumberFormat="1" applyFont="1" applyProtection="1">
      <protection locked="0"/>
    </xf>
    <xf numFmtId="0" fontId="36" fillId="0" borderId="0" xfId="0" applyFont="1" applyAlignment="1">
      <alignment horizontal="center"/>
    </xf>
    <xf numFmtId="0" fontId="56" fillId="0" borderId="0" xfId="0" applyFont="1" applyAlignment="1" applyProtection="1">
      <alignment vertical="top"/>
      <protection locked="0"/>
    </xf>
    <xf numFmtId="167" fontId="45" fillId="3" borderId="6" xfId="1" applyNumberFormat="1" applyFont="1" applyFill="1" applyBorder="1" applyAlignment="1" applyProtection="1">
      <alignment horizontal="center" wrapText="1"/>
      <protection locked="0"/>
    </xf>
    <xf numFmtId="167" fontId="45" fillId="3" borderId="7" xfId="1" applyNumberFormat="1" applyFont="1" applyFill="1" applyBorder="1" applyAlignment="1" applyProtection="1">
      <alignment horizontal="center"/>
      <protection locked="0"/>
    </xf>
    <xf numFmtId="167" fontId="45" fillId="0" borderId="43" xfId="1" applyNumberFormat="1" applyFont="1" applyBorder="1" applyAlignment="1" applyProtection="1">
      <alignment horizontal="center"/>
      <protection locked="0"/>
    </xf>
    <xf numFmtId="166" fontId="38" fillId="0" borderId="16" xfId="0" applyNumberFormat="1" applyFont="1" applyBorder="1"/>
    <xf numFmtId="166" fontId="36" fillId="0" borderId="0" xfId="0" applyNumberFormat="1" applyFont="1"/>
    <xf numFmtId="164" fontId="38" fillId="10" borderId="8" xfId="2" applyFont="1" applyFill="1" applyBorder="1" applyAlignment="1"/>
    <xf numFmtId="164" fontId="38" fillId="10" borderId="13" xfId="2" applyFont="1" applyFill="1" applyBorder="1"/>
    <xf numFmtId="167" fontId="45" fillId="0" borderId="6" xfId="1" applyNumberFormat="1" applyFont="1" applyFill="1" applyBorder="1" applyAlignment="1" applyProtection="1">
      <alignment horizontal="center"/>
      <protection locked="0"/>
    </xf>
    <xf numFmtId="167" fontId="45" fillId="3" borderId="54" xfId="1" applyNumberFormat="1" applyFont="1" applyFill="1" applyBorder="1" applyAlignment="1" applyProtection="1">
      <alignment horizontal="center"/>
      <protection locked="0"/>
    </xf>
    <xf numFmtId="0" fontId="36" fillId="0" borderId="0" xfId="0" pivotButton="1" applyFont="1"/>
    <xf numFmtId="164" fontId="36" fillId="0" borderId="13" xfId="2" applyFont="1" applyFill="1" applyBorder="1"/>
    <xf numFmtId="0" fontId="36" fillId="0" borderId="0" xfId="0" applyFont="1" applyAlignment="1">
      <alignment horizontal="left"/>
    </xf>
    <xf numFmtId="167" fontId="45" fillId="0" borderId="2" xfId="1" applyNumberFormat="1" applyFont="1" applyFill="1" applyBorder="1" applyAlignment="1" applyProtection="1">
      <alignment horizontal="center"/>
      <protection locked="0"/>
    </xf>
    <xf numFmtId="164" fontId="38" fillId="0" borderId="4" xfId="2" applyFont="1" applyBorder="1"/>
    <xf numFmtId="167" fontId="54" fillId="0" borderId="0" xfId="0" applyNumberFormat="1" applyFont="1" applyAlignment="1" applyProtection="1">
      <alignment horizontal="left"/>
      <protection locked="0"/>
    </xf>
    <xf numFmtId="4" fontId="36" fillId="0" borderId="0" xfId="0" applyNumberFormat="1" applyFont="1"/>
    <xf numFmtId="0" fontId="38" fillId="0" borderId="0" xfId="0" applyFont="1" applyProtection="1">
      <protection locked="0"/>
    </xf>
    <xf numFmtId="0" fontId="38" fillId="10" borderId="0" xfId="0" applyFont="1" applyFill="1"/>
    <xf numFmtId="164" fontId="38" fillId="10" borderId="0" xfId="2" applyFont="1" applyFill="1"/>
    <xf numFmtId="167" fontId="48" fillId="3" borderId="16" xfId="1" applyNumberFormat="1" applyFont="1" applyFill="1" applyBorder="1" applyAlignment="1" applyProtection="1">
      <alignment horizontal="center"/>
      <protection locked="0"/>
    </xf>
    <xf numFmtId="167" fontId="48" fillId="3" borderId="16" xfId="1" applyNumberFormat="1" applyFont="1" applyFill="1" applyBorder="1" applyAlignment="1" applyProtection="1">
      <alignment horizontal="center" wrapText="1"/>
      <protection locked="0"/>
    </xf>
    <xf numFmtId="4" fontId="46" fillId="4" borderId="16" xfId="0" applyNumberFormat="1" applyFont="1" applyFill="1" applyBorder="1" applyAlignment="1" applyProtection="1">
      <alignment horizontal="left"/>
      <protection locked="0"/>
    </xf>
    <xf numFmtId="0" fontId="46" fillId="4" borderId="16" xfId="0" applyFont="1" applyFill="1" applyBorder="1" applyAlignment="1" applyProtection="1">
      <alignment horizontal="left"/>
      <protection locked="0"/>
    </xf>
    <xf numFmtId="0" fontId="44" fillId="0" borderId="0" xfId="0" applyFont="1"/>
    <xf numFmtId="167" fontId="48" fillId="0" borderId="4" xfId="1" applyNumberFormat="1" applyFont="1" applyBorder="1" applyAlignment="1" applyProtection="1">
      <alignment horizontal="center"/>
      <protection locked="0"/>
    </xf>
    <xf numFmtId="167" fontId="48" fillId="0" borderId="2" xfId="1" applyNumberFormat="1" applyFont="1" applyBorder="1" applyAlignment="1" applyProtection="1">
      <alignment horizontal="center"/>
      <protection locked="0"/>
    </xf>
    <xf numFmtId="164" fontId="38" fillId="0" borderId="4" xfId="0" applyNumberFormat="1" applyFont="1" applyBorder="1"/>
    <xf numFmtId="167" fontId="45" fillId="3" borderId="16" xfId="1" applyNumberFormat="1" applyFont="1" applyFill="1" applyBorder="1" applyAlignment="1" applyProtection="1">
      <alignment horizontal="center" vertical="justify"/>
      <protection locked="0"/>
    </xf>
    <xf numFmtId="167" fontId="45" fillId="3" borderId="16" xfId="1" applyNumberFormat="1" applyFont="1" applyFill="1" applyBorder="1" applyAlignment="1" applyProtection="1">
      <alignment horizontal="center" wrapText="1"/>
      <protection locked="0"/>
    </xf>
    <xf numFmtId="1" fontId="54" fillId="4" borderId="16" xfId="0" applyNumberFormat="1" applyFont="1" applyFill="1" applyBorder="1" applyAlignment="1" applyProtection="1">
      <alignment horizontal="left"/>
      <protection locked="0"/>
    </xf>
    <xf numFmtId="4" fontId="54" fillId="4" borderId="16" xfId="0" applyNumberFormat="1" applyFont="1" applyFill="1" applyBorder="1" applyAlignment="1" applyProtection="1">
      <alignment horizontal="left"/>
      <protection locked="0"/>
    </xf>
    <xf numFmtId="0" fontId="54" fillId="4" borderId="16" xfId="0" applyFont="1" applyFill="1" applyBorder="1" applyAlignment="1" applyProtection="1">
      <alignment horizontal="left"/>
      <protection locked="0"/>
    </xf>
    <xf numFmtId="14" fontId="54" fillId="4" borderId="16" xfId="1" applyNumberFormat="1" applyFont="1" applyFill="1" applyBorder="1" applyAlignment="1" applyProtection="1">
      <alignment horizontal="center"/>
      <protection locked="0"/>
    </xf>
    <xf numFmtId="168" fontId="54" fillId="4" borderId="16" xfId="1" applyNumberFormat="1" applyFont="1" applyFill="1" applyBorder="1" applyAlignment="1" applyProtection="1">
      <alignment horizontal="right"/>
      <protection locked="0"/>
    </xf>
    <xf numFmtId="167" fontId="54" fillId="4" borderId="16" xfId="1" applyNumberFormat="1" applyFont="1" applyFill="1" applyBorder="1" applyAlignment="1" applyProtection="1">
      <alignment horizontal="center"/>
    </xf>
    <xf numFmtId="167" fontId="55" fillId="4" borderId="16" xfId="1" applyNumberFormat="1" applyFont="1" applyFill="1" applyBorder="1" applyAlignment="1" applyProtection="1">
      <alignment horizontal="center"/>
      <protection locked="0"/>
    </xf>
    <xf numFmtId="0" fontId="54" fillId="4" borderId="16" xfId="1" applyNumberFormat="1" applyFont="1" applyFill="1" applyBorder="1" applyAlignment="1" applyProtection="1">
      <alignment horizontal="left"/>
      <protection locked="0"/>
    </xf>
    <xf numFmtId="14" fontId="54" fillId="4" borderId="16" xfId="0" applyNumberFormat="1" applyFont="1" applyFill="1" applyBorder="1" applyAlignment="1" applyProtection="1">
      <alignment horizontal="center"/>
      <protection locked="0"/>
    </xf>
    <xf numFmtId="168" fontId="54" fillId="4" borderId="16" xfId="0" applyNumberFormat="1" applyFont="1" applyFill="1" applyBorder="1" applyAlignment="1" applyProtection="1">
      <alignment horizontal="right"/>
      <protection locked="0"/>
    </xf>
    <xf numFmtId="1" fontId="54" fillId="4" borderId="16" xfId="1" applyNumberFormat="1" applyFont="1" applyFill="1" applyBorder="1" applyAlignment="1" applyProtection="1">
      <alignment horizontal="left"/>
      <protection locked="0"/>
    </xf>
    <xf numFmtId="167" fontId="54" fillId="4" borderId="16" xfId="1" applyNumberFormat="1" applyFont="1" applyFill="1" applyBorder="1" applyAlignment="1" applyProtection="1">
      <protection locked="0"/>
    </xf>
    <xf numFmtId="4" fontId="54" fillId="4" borderId="29" xfId="0" applyNumberFormat="1" applyFont="1" applyFill="1" applyBorder="1"/>
    <xf numFmtId="0" fontId="54" fillId="4" borderId="11" xfId="0" applyFont="1" applyFill="1" applyBorder="1" applyAlignment="1">
      <alignment horizontal="left"/>
    </xf>
    <xf numFmtId="4" fontId="54" fillId="4" borderId="11" xfId="0" applyNumberFormat="1" applyFont="1" applyFill="1" applyBorder="1" applyAlignment="1">
      <alignment horizontal="left"/>
    </xf>
    <xf numFmtId="15" fontId="54" fillId="4" borderId="11" xfId="0" applyNumberFormat="1" applyFont="1" applyFill="1" applyBorder="1"/>
    <xf numFmtId="170" fontId="54" fillId="4" borderId="11" xfId="0" applyNumberFormat="1" applyFont="1" applyFill="1" applyBorder="1" applyAlignment="1">
      <alignment horizontal="center"/>
    </xf>
    <xf numFmtId="166" fontId="54" fillId="4" borderId="11" xfId="1" applyFont="1" applyFill="1" applyBorder="1" applyAlignment="1"/>
    <xf numFmtId="166" fontId="57" fillId="4" borderId="11" xfId="1" applyFont="1" applyFill="1" applyBorder="1"/>
    <xf numFmtId="4" fontId="54" fillId="4" borderId="38" xfId="0" applyNumberFormat="1" applyFont="1" applyFill="1" applyBorder="1"/>
    <xf numFmtId="0" fontId="54" fillId="4" borderId="16" xfId="0" applyFont="1" applyFill="1" applyBorder="1" applyAlignment="1">
      <alignment horizontal="left"/>
    </xf>
    <xf numFmtId="4" fontId="54" fillId="4" borderId="16" xfId="0" applyNumberFormat="1" applyFont="1" applyFill="1" applyBorder="1" applyAlignment="1">
      <alignment horizontal="left"/>
    </xf>
    <xf numFmtId="15" fontId="54" fillId="4" borderId="16" xfId="0" applyNumberFormat="1" applyFont="1" applyFill="1" applyBorder="1"/>
    <xf numFmtId="170" fontId="54" fillId="4" borderId="16" xfId="0" applyNumberFormat="1" applyFont="1" applyFill="1" applyBorder="1" applyAlignment="1">
      <alignment horizontal="center"/>
    </xf>
    <xf numFmtId="166" fontId="54" fillId="4" borderId="16" xfId="1" applyFont="1" applyFill="1" applyBorder="1" applyAlignment="1"/>
    <xf numFmtId="166" fontId="57" fillId="4" borderId="16" xfId="1" applyFont="1" applyFill="1" applyBorder="1"/>
    <xf numFmtId="0" fontId="58" fillId="0" borderId="0" xfId="0" applyFont="1"/>
    <xf numFmtId="0" fontId="59" fillId="0" borderId="1" xfId="0" applyFont="1" applyBorder="1" applyAlignment="1" applyProtection="1">
      <alignment horizontal="left"/>
      <protection locked="0"/>
    </xf>
    <xf numFmtId="0" fontId="59" fillId="0" borderId="1" xfId="0" applyFont="1" applyBorder="1" applyProtection="1">
      <protection locked="0"/>
    </xf>
    <xf numFmtId="0" fontId="59" fillId="0" borderId="3" xfId="0" applyFont="1" applyBorder="1" applyProtection="1">
      <protection locked="0"/>
    </xf>
    <xf numFmtId="0" fontId="59" fillId="0" borderId="2" xfId="0" applyFont="1" applyBorder="1" applyProtection="1">
      <protection locked="0"/>
    </xf>
    <xf numFmtId="0" fontId="42" fillId="10" borderId="0" xfId="0" applyFont="1" applyFill="1"/>
    <xf numFmtId="164" fontId="42" fillId="10" borderId="0" xfId="2" applyFont="1" applyFill="1"/>
    <xf numFmtId="166" fontId="44" fillId="0" borderId="0" xfId="1" applyFont="1"/>
    <xf numFmtId="43" fontId="44" fillId="0" borderId="0" xfId="0" applyNumberFormat="1" applyFont="1"/>
    <xf numFmtId="164" fontId="42" fillId="0" borderId="0" xfId="0" applyNumberFormat="1" applyFont="1"/>
    <xf numFmtId="1" fontId="54" fillId="4" borderId="29" xfId="1" applyNumberFormat="1" applyFont="1" applyFill="1" applyBorder="1" applyAlignment="1" applyProtection="1">
      <alignment horizontal="left"/>
      <protection locked="0"/>
    </xf>
    <xf numFmtId="4" fontId="54" fillId="4" borderId="11" xfId="0" applyNumberFormat="1" applyFont="1" applyFill="1" applyBorder="1" applyAlignment="1" applyProtection="1">
      <alignment horizontal="left"/>
      <protection locked="0"/>
    </xf>
    <xf numFmtId="0" fontId="54" fillId="4" borderId="11" xfId="0" applyFont="1" applyFill="1" applyBorder="1" applyAlignment="1" applyProtection="1">
      <alignment horizontal="left"/>
      <protection locked="0"/>
    </xf>
    <xf numFmtId="14" fontId="54" fillId="4" borderId="11" xfId="0" applyNumberFormat="1" applyFont="1" applyFill="1" applyBorder="1" applyAlignment="1" applyProtection="1">
      <alignment horizontal="center"/>
      <protection locked="0"/>
    </xf>
    <xf numFmtId="168" fontId="54" fillId="4" borderId="11" xfId="0" applyNumberFormat="1" applyFont="1" applyFill="1" applyBorder="1" applyAlignment="1" applyProtection="1">
      <alignment horizontal="right"/>
      <protection locked="0"/>
    </xf>
    <xf numFmtId="167" fontId="54" fillId="4" borderId="12" xfId="1" applyNumberFormat="1" applyFont="1" applyFill="1" applyBorder="1" applyAlignment="1" applyProtection="1">
      <protection locked="0"/>
    </xf>
    <xf numFmtId="0" fontId="57" fillId="4" borderId="0" xfId="0" applyFont="1" applyFill="1"/>
    <xf numFmtId="0" fontId="57" fillId="4" borderId="16" xfId="0" applyFont="1" applyFill="1" applyBorder="1"/>
    <xf numFmtId="1" fontId="54" fillId="4" borderId="30" xfId="1" applyNumberFormat="1" applyFont="1" applyFill="1" applyBorder="1" applyAlignment="1" applyProtection="1">
      <alignment horizontal="left"/>
      <protection locked="0"/>
    </xf>
    <xf numFmtId="0" fontId="54" fillId="4" borderId="23" xfId="1" applyNumberFormat="1" applyFont="1" applyFill="1" applyBorder="1" applyAlignment="1" applyProtection="1">
      <alignment horizontal="left"/>
      <protection locked="0"/>
    </xf>
    <xf numFmtId="0" fontId="54" fillId="4" borderId="23" xfId="0" applyFont="1" applyFill="1" applyBorder="1" applyAlignment="1" applyProtection="1">
      <alignment horizontal="left"/>
      <protection locked="0"/>
    </xf>
    <xf numFmtId="4" fontId="54" fillId="4" borderId="23" xfId="0" applyNumberFormat="1" applyFont="1" applyFill="1" applyBorder="1" applyAlignment="1" applyProtection="1">
      <alignment horizontal="left"/>
      <protection locked="0"/>
    </xf>
    <xf numFmtId="14" fontId="54" fillId="4" borderId="23" xfId="0" applyNumberFormat="1" applyFont="1" applyFill="1" applyBorder="1" applyAlignment="1" applyProtection="1">
      <alignment horizontal="center"/>
      <protection locked="0"/>
    </xf>
    <xf numFmtId="168" fontId="54" fillId="4" borderId="23" xfId="0" applyNumberFormat="1" applyFont="1" applyFill="1" applyBorder="1" applyAlignment="1" applyProtection="1">
      <alignment horizontal="right"/>
      <protection locked="0"/>
    </xf>
    <xf numFmtId="167" fontId="54" fillId="4" borderId="23" xfId="1" applyNumberFormat="1" applyFont="1" applyFill="1" applyBorder="1" applyAlignment="1" applyProtection="1">
      <alignment horizontal="center"/>
    </xf>
    <xf numFmtId="167" fontId="54" fillId="4" borderId="24" xfId="1" applyNumberFormat="1" applyFont="1" applyFill="1" applyBorder="1" applyAlignment="1" applyProtection="1">
      <protection locked="0"/>
    </xf>
    <xf numFmtId="1" fontId="54" fillId="4" borderId="31" xfId="0" applyNumberFormat="1" applyFont="1" applyFill="1" applyBorder="1" applyAlignment="1" applyProtection="1">
      <alignment horizontal="left"/>
      <protection locked="0"/>
    </xf>
    <xf numFmtId="4" fontId="54" fillId="4" borderId="28" xfId="0" applyNumberFormat="1" applyFont="1" applyFill="1" applyBorder="1" applyAlignment="1" applyProtection="1">
      <alignment horizontal="left"/>
      <protection locked="0"/>
    </xf>
    <xf numFmtId="0" fontId="54" fillId="4" borderId="28" xfId="0" applyFont="1" applyFill="1" applyBorder="1" applyAlignment="1" applyProtection="1">
      <alignment horizontal="left"/>
      <protection locked="0"/>
    </xf>
    <xf numFmtId="14" fontId="54" fillId="4" borderId="28" xfId="1" applyNumberFormat="1" applyFont="1" applyFill="1" applyBorder="1" applyAlignment="1" applyProtection="1">
      <alignment horizontal="center"/>
      <protection locked="0"/>
    </xf>
    <xf numFmtId="168" fontId="54" fillId="4" borderId="28" xfId="1" applyNumberFormat="1" applyFont="1" applyFill="1" applyBorder="1" applyAlignment="1" applyProtection="1">
      <alignment horizontal="right"/>
      <protection locked="0"/>
    </xf>
    <xf numFmtId="167" fontId="54" fillId="4" borderId="28" xfId="1" applyNumberFormat="1" applyFont="1" applyFill="1" applyBorder="1" applyAlignment="1" applyProtection="1">
      <alignment horizontal="center"/>
    </xf>
    <xf numFmtId="167" fontId="55" fillId="4" borderId="32" xfId="1" applyNumberFormat="1" applyFont="1" applyFill="1" applyBorder="1" applyAlignment="1" applyProtection="1">
      <alignment horizontal="center"/>
      <protection locked="0"/>
    </xf>
    <xf numFmtId="1" fontId="54" fillId="4" borderId="33" xfId="0" applyNumberFormat="1" applyFont="1" applyFill="1" applyBorder="1" applyAlignment="1" applyProtection="1">
      <alignment horizontal="left"/>
      <protection locked="0"/>
    </xf>
    <xf numFmtId="4" fontId="54" fillId="4" borderId="34" xfId="0" applyNumberFormat="1" applyFont="1" applyFill="1" applyBorder="1" applyAlignment="1" applyProtection="1">
      <alignment horizontal="left"/>
      <protection locked="0"/>
    </xf>
    <xf numFmtId="0" fontId="54" fillId="4" borderId="34" xfId="0" applyFont="1" applyFill="1" applyBorder="1" applyAlignment="1" applyProtection="1">
      <alignment horizontal="left"/>
      <protection locked="0"/>
    </xf>
    <xf numFmtId="14" fontId="54" fillId="4" borderId="34" xfId="1" applyNumberFormat="1" applyFont="1" applyFill="1" applyBorder="1" applyAlignment="1" applyProtection="1">
      <alignment horizontal="center"/>
      <protection locked="0"/>
    </xf>
    <xf numFmtId="168" fontId="54" fillId="4" borderId="34" xfId="1" applyNumberFormat="1" applyFont="1" applyFill="1" applyBorder="1" applyAlignment="1" applyProtection="1">
      <alignment horizontal="right"/>
      <protection locked="0"/>
    </xf>
    <xf numFmtId="167" fontId="54" fillId="4" borderId="34" xfId="1" applyNumberFormat="1" applyFont="1" applyFill="1" applyBorder="1" applyAlignment="1" applyProtection="1">
      <alignment horizontal="center"/>
    </xf>
    <xf numFmtId="167" fontId="55" fillId="4" borderId="35" xfId="1" applyNumberFormat="1" applyFont="1" applyFill="1" applyBorder="1" applyAlignment="1" applyProtection="1">
      <alignment horizontal="center"/>
      <protection locked="0"/>
    </xf>
    <xf numFmtId="1" fontId="54" fillId="4" borderId="36" xfId="0" applyNumberFormat="1" applyFont="1" applyFill="1" applyBorder="1" applyAlignment="1" applyProtection="1">
      <alignment horizontal="left"/>
      <protection locked="0"/>
    </xf>
    <xf numFmtId="4" fontId="54" fillId="4" borderId="27" xfId="0" applyNumberFormat="1" applyFont="1" applyFill="1" applyBorder="1" applyAlignment="1" applyProtection="1">
      <alignment horizontal="left"/>
      <protection locked="0"/>
    </xf>
    <xf numFmtId="0" fontId="54" fillId="4" borderId="27" xfId="0" applyFont="1" applyFill="1" applyBorder="1" applyAlignment="1" applyProtection="1">
      <alignment horizontal="left"/>
      <protection locked="0"/>
    </xf>
    <xf numFmtId="14" fontId="54" fillId="4" borderId="27" xfId="1" applyNumberFormat="1" applyFont="1" applyFill="1" applyBorder="1" applyAlignment="1" applyProtection="1">
      <alignment horizontal="center"/>
      <protection locked="0"/>
    </xf>
    <xf numFmtId="168" fontId="54" fillId="4" borderId="27" xfId="1" applyNumberFormat="1" applyFont="1" applyFill="1" applyBorder="1" applyAlignment="1" applyProtection="1">
      <alignment horizontal="right"/>
      <protection locked="0"/>
    </xf>
    <xf numFmtId="167" fontId="54" fillId="4" borderId="27" xfId="1" applyNumberFormat="1" applyFont="1" applyFill="1" applyBorder="1" applyAlignment="1" applyProtection="1">
      <alignment horizontal="center"/>
    </xf>
    <xf numFmtId="167" fontId="55" fillId="4" borderId="37" xfId="1" applyNumberFormat="1" applyFont="1" applyFill="1" applyBorder="1" applyAlignment="1" applyProtection="1">
      <alignment horizontal="center"/>
      <protection locked="0"/>
    </xf>
    <xf numFmtId="1" fontId="54" fillId="4" borderId="30" xfId="0" applyNumberFormat="1" applyFont="1" applyFill="1" applyBorder="1" applyAlignment="1" applyProtection="1">
      <alignment horizontal="left"/>
      <protection locked="0"/>
    </xf>
    <xf numFmtId="14" fontId="54" fillId="4" borderId="23" xfId="1" applyNumberFormat="1" applyFont="1" applyFill="1" applyBorder="1" applyAlignment="1" applyProtection="1">
      <alignment horizontal="center"/>
      <protection locked="0"/>
    </xf>
    <xf numFmtId="168" fontId="54" fillId="4" borderId="23" xfId="1" applyNumberFormat="1" applyFont="1" applyFill="1" applyBorder="1" applyAlignment="1" applyProtection="1">
      <alignment horizontal="right"/>
      <protection locked="0"/>
    </xf>
    <xf numFmtId="167" fontId="55" fillId="4" borderId="24" xfId="1" applyNumberFormat="1" applyFont="1" applyFill="1" applyBorder="1" applyAlignment="1" applyProtection="1">
      <alignment horizontal="center"/>
      <protection locked="0"/>
    </xf>
    <xf numFmtId="0" fontId="54" fillId="4" borderId="36" xfId="0" applyFont="1" applyFill="1" applyBorder="1" applyAlignment="1" applyProtection="1">
      <alignment horizontal="left"/>
      <protection locked="0"/>
    </xf>
    <xf numFmtId="0" fontId="54" fillId="4" borderId="27" xfId="1" applyNumberFormat="1" applyFont="1" applyFill="1" applyBorder="1" applyAlignment="1" applyProtection="1">
      <alignment horizontal="left"/>
      <protection locked="0"/>
    </xf>
    <xf numFmtId="14" fontId="54" fillId="4" borderId="27" xfId="0" applyNumberFormat="1" applyFont="1" applyFill="1" applyBorder="1" applyAlignment="1" applyProtection="1">
      <alignment horizontal="center"/>
      <protection locked="0"/>
    </xf>
    <xf numFmtId="168" fontId="54" fillId="4" borderId="27" xfId="0" applyNumberFormat="1" applyFont="1" applyFill="1" applyBorder="1" applyAlignment="1" applyProtection="1">
      <alignment horizontal="right"/>
      <protection locked="0"/>
    </xf>
    <xf numFmtId="167" fontId="54" fillId="4" borderId="37" xfId="1" applyNumberFormat="1" applyFont="1" applyFill="1" applyBorder="1" applyAlignment="1" applyProtection="1">
      <protection locked="0"/>
    </xf>
    <xf numFmtId="0" fontId="54" fillId="4" borderId="30" xfId="0" applyFont="1" applyFill="1" applyBorder="1" applyAlignment="1" applyProtection="1">
      <alignment horizontal="left"/>
      <protection locked="0"/>
    </xf>
    <xf numFmtId="0" fontId="54" fillId="4" borderId="38" xfId="0" applyFont="1" applyFill="1" applyBorder="1" applyAlignment="1" applyProtection="1">
      <alignment horizontal="left"/>
      <protection locked="0"/>
    </xf>
    <xf numFmtId="167" fontId="55" fillId="4" borderId="17" xfId="1" applyNumberFormat="1" applyFont="1" applyFill="1" applyBorder="1" applyAlignment="1" applyProtection="1">
      <alignment horizontal="center"/>
      <protection locked="0"/>
    </xf>
    <xf numFmtId="1" fontId="54" fillId="4" borderId="29" xfId="0" applyNumberFormat="1" applyFont="1" applyFill="1" applyBorder="1" applyAlignment="1" applyProtection="1">
      <alignment horizontal="left"/>
      <protection locked="0"/>
    </xf>
    <xf numFmtId="14" fontId="54" fillId="4" borderId="11" xfId="1" applyNumberFormat="1" applyFont="1" applyFill="1" applyBorder="1" applyAlignment="1" applyProtection="1">
      <alignment horizontal="center"/>
      <protection locked="0"/>
    </xf>
    <xf numFmtId="168" fontId="54" fillId="4" borderId="11" xfId="1" applyNumberFormat="1" applyFont="1" applyFill="1" applyBorder="1" applyAlignment="1" applyProtection="1">
      <alignment horizontal="right"/>
      <protection locked="0"/>
    </xf>
    <xf numFmtId="167" fontId="54" fillId="4" borderId="11" xfId="1" applyNumberFormat="1" applyFont="1" applyFill="1" applyBorder="1" applyAlignment="1" applyProtection="1">
      <alignment horizontal="center"/>
    </xf>
    <xf numFmtId="167" fontId="55" fillId="4" borderId="12" xfId="1" applyNumberFormat="1" applyFont="1" applyFill="1" applyBorder="1" applyAlignment="1" applyProtection="1">
      <alignment horizontal="center"/>
      <protection locked="0"/>
    </xf>
    <xf numFmtId="1" fontId="54" fillId="4" borderId="38" xfId="0" applyNumberFormat="1" applyFont="1" applyFill="1" applyBorder="1" applyAlignment="1" applyProtection="1">
      <alignment horizontal="left"/>
      <protection locked="0"/>
    </xf>
    <xf numFmtId="167" fontId="54" fillId="4" borderId="12" xfId="1" applyNumberFormat="1" applyFont="1" applyFill="1" applyBorder="1" applyAlignment="1" applyProtection="1">
      <alignment horizontal="center"/>
    </xf>
    <xf numFmtId="167" fontId="55" fillId="4" borderId="9" xfId="1" applyNumberFormat="1" applyFont="1" applyFill="1" applyBorder="1" applyAlignment="1" applyProtection="1">
      <alignment horizontal="center"/>
      <protection locked="0"/>
    </xf>
    <xf numFmtId="167" fontId="54" fillId="4" borderId="24" xfId="1" applyNumberFormat="1" applyFont="1" applyFill="1" applyBorder="1" applyAlignment="1" applyProtection="1">
      <alignment horizontal="center"/>
    </xf>
    <xf numFmtId="167" fontId="55" fillId="4" borderId="19" xfId="1" applyNumberFormat="1" applyFont="1" applyFill="1" applyBorder="1" applyAlignment="1" applyProtection="1">
      <alignment horizontal="center"/>
      <protection locked="0"/>
    </xf>
    <xf numFmtId="167" fontId="54" fillId="4" borderId="37" xfId="1" applyNumberFormat="1" applyFont="1" applyFill="1" applyBorder="1" applyAlignment="1" applyProtection="1">
      <alignment horizontal="center"/>
    </xf>
    <xf numFmtId="167" fontId="55" fillId="4" borderId="20" xfId="1" applyNumberFormat="1" applyFont="1" applyFill="1" applyBorder="1" applyAlignment="1" applyProtection="1">
      <alignment horizontal="center"/>
      <protection locked="0"/>
    </xf>
    <xf numFmtId="167" fontId="54" fillId="4" borderId="17" xfId="1" applyNumberFormat="1" applyFont="1" applyFill="1" applyBorder="1" applyAlignment="1" applyProtection="1">
      <alignment horizontal="center"/>
    </xf>
    <xf numFmtId="167" fontId="55" fillId="4" borderId="14" xfId="1" applyNumberFormat="1" applyFont="1" applyFill="1" applyBorder="1" applyAlignment="1" applyProtection="1">
      <alignment horizontal="center"/>
      <protection locked="0"/>
    </xf>
    <xf numFmtId="167" fontId="55" fillId="4" borderId="39" xfId="1" applyNumberFormat="1" applyFont="1" applyFill="1" applyBorder="1" applyAlignment="1" applyProtection="1">
      <alignment horizontal="center"/>
      <protection locked="0"/>
    </xf>
    <xf numFmtId="167" fontId="55" fillId="4" borderId="15" xfId="1" applyNumberFormat="1" applyFont="1" applyFill="1" applyBorder="1" applyAlignment="1" applyProtection="1">
      <alignment horizontal="center"/>
      <protection locked="0"/>
    </xf>
    <xf numFmtId="1" fontId="54" fillId="4" borderId="40" xfId="0" applyNumberFormat="1" applyFont="1" applyFill="1" applyBorder="1" applyAlignment="1" applyProtection="1">
      <alignment horizontal="left"/>
      <protection locked="0"/>
    </xf>
    <xf numFmtId="4" fontId="54" fillId="4" borderId="26" xfId="0" applyNumberFormat="1" applyFont="1" applyFill="1" applyBorder="1" applyAlignment="1" applyProtection="1">
      <alignment horizontal="left"/>
      <protection locked="0"/>
    </xf>
    <xf numFmtId="0" fontId="54" fillId="4" borderId="26" xfId="0" applyFont="1" applyFill="1" applyBorder="1" applyAlignment="1" applyProtection="1">
      <alignment horizontal="left"/>
      <protection locked="0"/>
    </xf>
    <xf numFmtId="14" fontId="54" fillId="4" borderId="26" xfId="1" applyNumberFormat="1" applyFont="1" applyFill="1" applyBorder="1" applyAlignment="1" applyProtection="1">
      <alignment horizontal="center"/>
      <protection locked="0"/>
    </xf>
    <xf numFmtId="168" fontId="54" fillId="4" borderId="26" xfId="1" applyNumberFormat="1" applyFont="1" applyFill="1" applyBorder="1" applyAlignment="1" applyProtection="1">
      <alignment horizontal="right"/>
      <protection locked="0"/>
    </xf>
    <xf numFmtId="167" fontId="54" fillId="4" borderId="41" xfId="1" applyNumberFormat="1" applyFont="1" applyFill="1" applyBorder="1" applyAlignment="1" applyProtection="1">
      <alignment horizontal="center"/>
    </xf>
    <xf numFmtId="167" fontId="55" fillId="4" borderId="42" xfId="1" applyNumberFormat="1" applyFont="1" applyFill="1" applyBorder="1" applyAlignment="1" applyProtection="1">
      <alignment horizontal="center"/>
      <protection locked="0"/>
    </xf>
    <xf numFmtId="167" fontId="45" fillId="3" borderId="6" xfId="1" applyNumberFormat="1" applyFont="1" applyFill="1" applyBorder="1" applyAlignment="1" applyProtection="1">
      <alignment horizontal="center" vertical="center"/>
      <protection locked="0"/>
    </xf>
    <xf numFmtId="167" fontId="45" fillId="3" borderId="6" xfId="1" applyNumberFormat="1" applyFont="1" applyFill="1" applyBorder="1" applyAlignment="1" applyProtection="1">
      <alignment horizontal="center" vertical="center" wrapText="1"/>
      <protection locked="0"/>
    </xf>
    <xf numFmtId="167" fontId="45" fillId="3" borderId="7" xfId="1" applyNumberFormat="1" applyFont="1" applyFill="1" applyBorder="1" applyAlignment="1" applyProtection="1">
      <alignment horizontal="center" vertical="center"/>
      <protection locked="0"/>
    </xf>
    <xf numFmtId="1" fontId="54" fillId="0" borderId="8" xfId="0" applyNumberFormat="1" applyFont="1" applyBorder="1" applyAlignment="1" applyProtection="1">
      <alignment horizontal="left"/>
      <protection locked="0"/>
    </xf>
    <xf numFmtId="0" fontId="54" fillId="0" borderId="9" xfId="0" applyFont="1" applyBorder="1" applyAlignment="1" applyProtection="1">
      <alignment horizontal="left"/>
      <protection locked="0"/>
    </xf>
    <xf numFmtId="4" fontId="54" fillId="0" borderId="10" xfId="0" applyNumberFormat="1" applyFont="1" applyBorder="1" applyAlignment="1" applyProtection="1">
      <alignment horizontal="left"/>
      <protection locked="0"/>
    </xf>
    <xf numFmtId="4" fontId="54" fillId="0" borderId="11" xfId="0" applyNumberFormat="1" applyFont="1" applyBorder="1" applyAlignment="1" applyProtection="1">
      <alignment horizontal="left"/>
      <protection locked="0"/>
    </xf>
    <xf numFmtId="14" fontId="54" fillId="0" borderId="12" xfId="1" applyNumberFormat="1" applyFont="1" applyFill="1" applyBorder="1" applyAlignment="1" applyProtection="1">
      <alignment horizontal="center"/>
      <protection locked="0"/>
    </xf>
    <xf numFmtId="14" fontId="54" fillId="0" borderId="9" xfId="1" applyNumberFormat="1" applyFont="1" applyFill="1" applyBorder="1" applyAlignment="1" applyProtection="1">
      <alignment horizontal="center"/>
      <protection locked="0"/>
    </xf>
    <xf numFmtId="167" fontId="54" fillId="0" borderId="9" xfId="1" applyNumberFormat="1" applyFont="1" applyBorder="1" applyAlignment="1" applyProtection="1">
      <alignment horizontal="center"/>
    </xf>
    <xf numFmtId="167" fontId="55" fillId="0" borderId="9" xfId="1" applyNumberFormat="1" applyFont="1" applyFill="1" applyBorder="1" applyAlignment="1" applyProtection="1">
      <alignment horizontal="center"/>
      <protection locked="0"/>
    </xf>
    <xf numFmtId="0" fontId="57" fillId="0" borderId="0" xfId="0" applyFont="1"/>
    <xf numFmtId="164" fontId="57" fillId="0" borderId="13" xfId="2" applyFont="1" applyFill="1" applyBorder="1"/>
    <xf numFmtId="0" fontId="57" fillId="0" borderId="0" xfId="0" applyFont="1" applyAlignment="1">
      <alignment horizontal="left"/>
    </xf>
    <xf numFmtId="1" fontId="54" fillId="0" borderId="13" xfId="0" applyNumberFormat="1" applyFont="1" applyBorder="1" applyAlignment="1" applyProtection="1">
      <alignment horizontal="left"/>
      <protection locked="0"/>
    </xf>
    <xf numFmtId="0" fontId="54" fillId="0" borderId="14" xfId="0" applyFont="1" applyBorder="1" applyAlignment="1" applyProtection="1">
      <alignment horizontal="left"/>
      <protection locked="0"/>
    </xf>
    <xf numFmtId="4" fontId="54" fillId="0" borderId="15" xfId="0" applyNumberFormat="1" applyFont="1" applyBorder="1" applyAlignment="1" applyProtection="1">
      <alignment horizontal="left"/>
      <protection locked="0"/>
    </xf>
    <xf numFmtId="4" fontId="54" fillId="0" borderId="16" xfId="0" applyNumberFormat="1" applyFont="1" applyBorder="1" applyAlignment="1" applyProtection="1">
      <alignment horizontal="left"/>
      <protection locked="0"/>
    </xf>
    <xf numFmtId="14" fontId="54" fillId="0" borderId="17" xfId="1" applyNumberFormat="1" applyFont="1" applyFill="1" applyBorder="1" applyAlignment="1" applyProtection="1">
      <alignment horizontal="center"/>
      <protection locked="0"/>
    </xf>
    <xf numFmtId="14" fontId="54" fillId="0" borderId="14" xfId="1" applyNumberFormat="1" applyFont="1" applyFill="1" applyBorder="1" applyAlignment="1" applyProtection="1">
      <alignment horizontal="center"/>
      <protection locked="0"/>
    </xf>
    <xf numFmtId="168" fontId="54" fillId="0" borderId="18" xfId="1" applyNumberFormat="1" applyFont="1" applyFill="1" applyBorder="1" applyAlignment="1" applyProtection="1">
      <alignment horizontal="right"/>
      <protection locked="0"/>
    </xf>
    <xf numFmtId="168" fontId="54" fillId="0" borderId="19" xfId="1" applyNumberFormat="1" applyFont="1" applyFill="1" applyBorder="1" applyAlignment="1" applyProtection="1">
      <alignment horizontal="right"/>
      <protection locked="0"/>
    </xf>
    <xf numFmtId="167" fontId="54" fillId="0" borderId="19" xfId="1" applyNumberFormat="1" applyFont="1" applyBorder="1" applyAlignment="1" applyProtection="1">
      <alignment horizontal="center"/>
    </xf>
    <xf numFmtId="167" fontId="55" fillId="0" borderId="14" xfId="1" applyNumberFormat="1" applyFont="1" applyFill="1" applyBorder="1" applyAlignment="1" applyProtection="1">
      <alignment horizontal="center"/>
      <protection locked="0"/>
    </xf>
    <xf numFmtId="166" fontId="57" fillId="0" borderId="0" xfId="1" applyFont="1" applyFill="1" applyBorder="1"/>
    <xf numFmtId="168" fontId="54" fillId="0" borderId="20" xfId="1" applyNumberFormat="1" applyFont="1" applyFill="1" applyBorder="1" applyAlignment="1" applyProtection="1">
      <alignment horizontal="right"/>
      <protection locked="0"/>
    </xf>
    <xf numFmtId="167" fontId="54" fillId="0" borderId="20" xfId="1" applyNumberFormat="1" applyFont="1" applyBorder="1" applyAlignment="1" applyProtection="1">
      <alignment horizontal="center"/>
    </xf>
    <xf numFmtId="167" fontId="54" fillId="0" borderId="14" xfId="1" applyNumberFormat="1" applyFont="1" applyBorder="1" applyAlignment="1" applyProtection="1">
      <alignment horizontal="center"/>
    </xf>
    <xf numFmtId="1" fontId="54" fillId="0" borderId="13" xfId="1" applyNumberFormat="1" applyFont="1" applyFill="1" applyBorder="1" applyAlignment="1" applyProtection="1">
      <alignment horizontal="left"/>
      <protection locked="0"/>
    </xf>
    <xf numFmtId="14" fontId="54" fillId="0" borderId="17" xfId="0" applyNumberFormat="1" applyFont="1" applyBorder="1" applyAlignment="1" applyProtection="1">
      <alignment horizontal="center"/>
      <protection locked="0"/>
    </xf>
    <xf numFmtId="14" fontId="54" fillId="0" borderId="14" xfId="0" applyNumberFormat="1" applyFont="1" applyBorder="1" applyAlignment="1" applyProtection="1">
      <alignment horizontal="center"/>
      <protection locked="0"/>
    </xf>
    <xf numFmtId="168" fontId="54" fillId="0" borderId="20" xfId="0" applyNumberFormat="1" applyFont="1" applyBorder="1" applyAlignment="1" applyProtection="1">
      <alignment horizontal="right"/>
      <protection locked="0"/>
    </xf>
    <xf numFmtId="14" fontId="54" fillId="0" borderId="20" xfId="0" applyNumberFormat="1" applyFont="1" applyBorder="1" applyAlignment="1" applyProtection="1">
      <alignment horizontal="center"/>
      <protection locked="0"/>
    </xf>
    <xf numFmtId="167" fontId="54" fillId="0" borderId="14" xfId="1" applyNumberFormat="1" applyFont="1" applyFill="1" applyBorder="1" applyAlignment="1" applyProtection="1">
      <protection locked="0"/>
    </xf>
    <xf numFmtId="0" fontId="54" fillId="0" borderId="13" xfId="1" applyNumberFormat="1" applyFont="1" applyFill="1" applyBorder="1" applyAlignment="1" applyProtection="1">
      <alignment horizontal="left"/>
      <protection locked="0"/>
    </xf>
    <xf numFmtId="168" fontId="54" fillId="0" borderId="18" xfId="0" applyNumberFormat="1" applyFont="1" applyBorder="1" applyAlignment="1" applyProtection="1">
      <alignment horizontal="right"/>
      <protection locked="0"/>
    </xf>
    <xf numFmtId="168" fontId="54" fillId="0" borderId="19" xfId="0" applyNumberFormat="1" applyFont="1" applyBorder="1" applyAlignment="1" applyProtection="1">
      <alignment horizontal="right"/>
      <protection locked="0"/>
    </xf>
    <xf numFmtId="0" fontId="54" fillId="0" borderId="15" xfId="0" applyFont="1" applyBorder="1" applyAlignment="1" applyProtection="1">
      <alignment horizontal="left"/>
      <protection locked="0"/>
    </xf>
    <xf numFmtId="0" fontId="54" fillId="0" borderId="16" xfId="0" applyFont="1" applyBorder="1" applyAlignment="1" applyProtection="1">
      <alignment horizontal="left"/>
      <protection locked="0"/>
    </xf>
    <xf numFmtId="168" fontId="54" fillId="0" borderId="21" xfId="1" applyNumberFormat="1" applyFont="1" applyFill="1" applyBorder="1" applyAlignment="1" applyProtection="1">
      <alignment horizontal="right"/>
      <protection locked="0"/>
    </xf>
    <xf numFmtId="167" fontId="54" fillId="0" borderId="21" xfId="1" applyNumberFormat="1" applyFont="1" applyBorder="1" applyAlignment="1" applyProtection="1">
      <alignment horizontal="center"/>
    </xf>
    <xf numFmtId="1" fontId="54" fillId="0" borderId="18" xfId="0" applyNumberFormat="1" applyFont="1" applyBorder="1" applyAlignment="1" applyProtection="1">
      <alignment horizontal="left"/>
      <protection locked="0"/>
    </xf>
    <xf numFmtId="4" fontId="54" fillId="0" borderId="18" xfId="0" applyNumberFormat="1" applyFont="1" applyBorder="1" applyAlignment="1" applyProtection="1">
      <alignment horizontal="left"/>
      <protection locked="0"/>
    </xf>
    <xf numFmtId="0" fontId="54" fillId="0" borderId="19" xfId="0" applyFont="1" applyBorder="1" applyAlignment="1" applyProtection="1">
      <alignment horizontal="left"/>
      <protection locked="0"/>
    </xf>
    <xf numFmtId="4" fontId="54" fillId="0" borderId="22" xfId="0" applyNumberFormat="1" applyFont="1" applyBorder="1" applyAlignment="1" applyProtection="1">
      <alignment horizontal="left"/>
      <protection locked="0"/>
    </xf>
    <xf numFmtId="4" fontId="54" fillId="0" borderId="23" xfId="0" applyNumberFormat="1" applyFont="1" applyBorder="1" applyAlignment="1" applyProtection="1">
      <alignment horizontal="left"/>
      <protection locked="0"/>
    </xf>
    <xf numFmtId="14" fontId="54" fillId="0" borderId="24" xfId="1" applyNumberFormat="1" applyFont="1" applyFill="1" applyBorder="1" applyAlignment="1" applyProtection="1">
      <alignment horizontal="center"/>
      <protection locked="0"/>
    </xf>
    <xf numFmtId="14" fontId="54" fillId="0" borderId="19" xfId="1" applyNumberFormat="1" applyFont="1" applyFill="1" applyBorder="1" applyAlignment="1" applyProtection="1">
      <alignment horizontal="center"/>
      <protection locked="0"/>
    </xf>
    <xf numFmtId="167" fontId="55" fillId="0" borderId="19" xfId="1" applyNumberFormat="1" applyFont="1" applyFill="1" applyBorder="1" applyAlignment="1" applyProtection="1">
      <alignment horizontal="center"/>
      <protection locked="0"/>
    </xf>
    <xf numFmtId="1" fontId="54" fillId="0" borderId="25" xfId="0" applyNumberFormat="1" applyFont="1" applyBorder="1" applyAlignment="1" applyProtection="1">
      <alignment horizontal="left"/>
      <protection locked="0"/>
    </xf>
    <xf numFmtId="4" fontId="54" fillId="0" borderId="25" xfId="0" applyNumberFormat="1" applyFont="1" applyBorder="1" applyAlignment="1" applyProtection="1">
      <alignment horizontal="left"/>
      <protection locked="0"/>
    </xf>
    <xf numFmtId="0" fontId="54" fillId="0" borderId="43" xfId="0" applyFont="1" applyBorder="1" applyAlignment="1" applyProtection="1">
      <alignment horizontal="left"/>
      <protection locked="0"/>
    </xf>
    <xf numFmtId="4" fontId="54" fillId="0" borderId="5" xfId="0" applyNumberFormat="1" applyFont="1" applyBorder="1" applyAlignment="1" applyProtection="1">
      <alignment horizontal="left"/>
      <protection locked="0"/>
    </xf>
    <xf numFmtId="14" fontId="54" fillId="0" borderId="43" xfId="1" applyNumberFormat="1" applyFont="1" applyFill="1" applyBorder="1" applyAlignment="1" applyProtection="1">
      <alignment horizontal="center"/>
      <protection locked="0"/>
    </xf>
    <xf numFmtId="168" fontId="54" fillId="0" borderId="43" xfId="1" applyNumberFormat="1" applyFont="1" applyFill="1" applyBorder="1" applyAlignment="1" applyProtection="1">
      <alignment horizontal="right"/>
      <protection locked="0"/>
    </xf>
    <xf numFmtId="167" fontId="55" fillId="0" borderId="43" xfId="1" applyNumberFormat="1" applyFont="1" applyFill="1" applyBorder="1" applyAlignment="1" applyProtection="1">
      <alignment horizontal="center"/>
      <protection locked="0"/>
    </xf>
    <xf numFmtId="167" fontId="54" fillId="0" borderId="43" xfId="1" applyNumberFormat="1" applyFont="1" applyBorder="1" applyAlignment="1" applyProtection="1">
      <alignment horizontal="center"/>
    </xf>
    <xf numFmtId="0" fontId="54" fillId="0" borderId="25" xfId="1" applyNumberFormat="1" applyFont="1" applyFill="1" applyBorder="1" applyAlignment="1" applyProtection="1">
      <alignment horizontal="left"/>
      <protection locked="0"/>
    </xf>
    <xf numFmtId="1" fontId="54" fillId="4" borderId="25" xfId="0" applyNumberFormat="1" applyFont="1" applyFill="1" applyBorder="1" applyAlignment="1" applyProtection="1">
      <alignment horizontal="left"/>
      <protection locked="0"/>
    </xf>
    <xf numFmtId="0" fontId="54" fillId="4" borderId="43" xfId="0" applyFont="1" applyFill="1" applyBorder="1" applyAlignment="1" applyProtection="1">
      <alignment horizontal="left"/>
      <protection locked="0"/>
    </xf>
    <xf numFmtId="4" fontId="54" fillId="4" borderId="5" xfId="0" applyNumberFormat="1" applyFont="1" applyFill="1" applyBorder="1" applyAlignment="1" applyProtection="1">
      <alignment horizontal="left"/>
      <protection locked="0"/>
    </xf>
    <xf numFmtId="14" fontId="54" fillId="4" borderId="43" xfId="1" applyNumberFormat="1" applyFont="1" applyFill="1" applyBorder="1" applyAlignment="1" applyProtection="1">
      <alignment horizontal="center"/>
      <protection locked="0"/>
    </xf>
    <xf numFmtId="168" fontId="54" fillId="4" borderId="43" xfId="1" applyNumberFormat="1" applyFont="1" applyFill="1" applyBorder="1" applyAlignment="1" applyProtection="1">
      <alignment horizontal="right"/>
      <protection locked="0"/>
    </xf>
    <xf numFmtId="167" fontId="54" fillId="4" borderId="43" xfId="1" applyNumberFormat="1" applyFont="1" applyFill="1" applyBorder="1" applyAlignment="1" applyProtection="1">
      <alignment horizontal="center"/>
    </xf>
    <xf numFmtId="167" fontId="55" fillId="4" borderId="43" xfId="1" applyNumberFormat="1" applyFont="1" applyFill="1" applyBorder="1" applyAlignment="1" applyProtection="1">
      <alignment horizontal="center"/>
      <protection locked="0"/>
    </xf>
    <xf numFmtId="49" fontId="55" fillId="4" borderId="16" xfId="1" applyNumberFormat="1" applyFont="1" applyFill="1" applyBorder="1" applyAlignment="1" applyProtection="1">
      <alignment horizontal="center"/>
      <protection locked="0"/>
    </xf>
    <xf numFmtId="0" fontId="38" fillId="10" borderId="1" xfId="0" applyFont="1" applyFill="1" applyBorder="1"/>
    <xf numFmtId="164" fontId="38" fillId="10" borderId="2" xfId="2" applyFont="1" applyFill="1" applyBorder="1"/>
    <xf numFmtId="167" fontId="41" fillId="11" borderId="16" xfId="1" applyNumberFormat="1" applyFont="1" applyFill="1" applyBorder="1" applyAlignment="1" applyProtection="1">
      <alignment horizontal="center" vertical="justify"/>
      <protection locked="0"/>
    </xf>
    <xf numFmtId="167" fontId="41" fillId="11" borderId="16" xfId="1" applyNumberFormat="1" applyFont="1" applyFill="1" applyBorder="1" applyAlignment="1" applyProtection="1">
      <alignment horizontal="center" wrapText="1"/>
      <protection locked="0"/>
    </xf>
    <xf numFmtId="167" fontId="41" fillId="11" borderId="16" xfId="1" applyNumberFormat="1" applyFont="1" applyFill="1" applyBorder="1" applyAlignment="1" applyProtection="1">
      <alignment horizontal="center"/>
      <protection locked="0"/>
    </xf>
    <xf numFmtId="4" fontId="54" fillId="4" borderId="16" xfId="0" applyNumberFormat="1" applyFont="1" applyFill="1" applyBorder="1"/>
    <xf numFmtId="170" fontId="57" fillId="4" borderId="16" xfId="0" applyNumberFormat="1" applyFont="1" applyFill="1" applyBorder="1" applyAlignment="1">
      <alignment horizontal="center"/>
    </xf>
    <xf numFmtId="4" fontId="57" fillId="4" borderId="23" xfId="1" applyNumberFormat="1" applyFont="1" applyFill="1" applyBorder="1" applyAlignment="1">
      <alignment horizontal="right"/>
    </xf>
    <xf numFmtId="4" fontId="57" fillId="4" borderId="23" xfId="1" applyNumberFormat="1" applyFont="1" applyFill="1" applyBorder="1"/>
    <xf numFmtId="4" fontId="57" fillId="4" borderId="23" xfId="1" applyNumberFormat="1" applyFont="1" applyFill="1" applyBorder="1" applyAlignment="1">
      <alignment horizontal="center"/>
    </xf>
    <xf numFmtId="164" fontId="36" fillId="0" borderId="27" xfId="2" applyFont="1" applyFill="1" applyBorder="1"/>
    <xf numFmtId="4" fontId="57" fillId="4" borderId="27" xfId="1" applyNumberFormat="1" applyFont="1" applyFill="1" applyBorder="1" applyAlignment="1">
      <alignment horizontal="right"/>
    </xf>
    <xf numFmtId="4" fontId="57" fillId="4" borderId="27" xfId="1" applyNumberFormat="1" applyFont="1" applyFill="1" applyBorder="1"/>
    <xf numFmtId="4" fontId="57" fillId="4" borderId="27" xfId="1" applyNumberFormat="1" applyFont="1" applyFill="1" applyBorder="1" applyAlignment="1">
      <alignment horizontal="center"/>
    </xf>
    <xf numFmtId="4" fontId="57" fillId="4" borderId="16" xfId="1" applyNumberFormat="1" applyFont="1" applyFill="1" applyBorder="1" applyAlignment="1">
      <alignment horizontal="right"/>
    </xf>
    <xf numFmtId="4" fontId="57" fillId="4" borderId="16" xfId="1" applyNumberFormat="1" applyFont="1" applyFill="1" applyBorder="1"/>
    <xf numFmtId="4" fontId="57" fillId="4" borderId="16" xfId="1" applyNumberFormat="1" applyFont="1" applyFill="1" applyBorder="1" applyAlignment="1">
      <alignment horizontal="center"/>
    </xf>
    <xf numFmtId="4" fontId="54" fillId="4" borderId="23" xfId="1" applyNumberFormat="1" applyFont="1" applyFill="1" applyBorder="1" applyAlignment="1" applyProtection="1">
      <alignment horizontal="right"/>
      <protection locked="0"/>
    </xf>
    <xf numFmtId="4" fontId="57" fillId="4" borderId="28" xfId="1" applyNumberFormat="1" applyFont="1" applyFill="1" applyBorder="1" applyAlignment="1">
      <alignment horizontal="right"/>
    </xf>
    <xf numFmtId="4" fontId="57" fillId="4" borderId="28" xfId="1" applyNumberFormat="1" applyFont="1" applyFill="1" applyBorder="1"/>
    <xf numFmtId="4" fontId="57" fillId="4" borderId="28" xfId="1" applyNumberFormat="1" applyFont="1" applyFill="1" applyBorder="1" applyAlignment="1">
      <alignment horizontal="center"/>
    </xf>
    <xf numFmtId="4" fontId="54" fillId="0" borderId="16" xfId="0" applyNumberFormat="1" applyFont="1" applyBorder="1"/>
    <xf numFmtId="0" fontId="54" fillId="0" borderId="16" xfId="0" applyFont="1" applyBorder="1" applyAlignment="1">
      <alignment horizontal="left"/>
    </xf>
    <xf numFmtId="4" fontId="54" fillId="0" borderId="16" xfId="0" applyNumberFormat="1" applyFont="1" applyBorder="1" applyAlignment="1">
      <alignment horizontal="left"/>
    </xf>
    <xf numFmtId="15" fontId="54" fillId="0" borderId="16" xfId="0" applyNumberFormat="1" applyFont="1" applyBorder="1"/>
    <xf numFmtId="170" fontId="57" fillId="0" borderId="16" xfId="0" applyNumberFormat="1" applyFont="1" applyBorder="1" applyAlignment="1">
      <alignment horizontal="center"/>
    </xf>
    <xf numFmtId="4" fontId="57" fillId="0" borderId="16" xfId="1" applyNumberFormat="1" applyFont="1" applyFill="1" applyBorder="1" applyAlignment="1">
      <alignment horizontal="right"/>
    </xf>
    <xf numFmtId="4" fontId="57" fillId="0" borderId="16" xfId="1" applyNumberFormat="1" applyFont="1" applyFill="1" applyBorder="1"/>
    <xf numFmtId="4" fontId="57" fillId="0" borderId="16" xfId="1" applyNumberFormat="1" applyFont="1" applyFill="1" applyBorder="1" applyAlignment="1">
      <alignment horizontal="center"/>
    </xf>
    <xf numFmtId="0" fontId="54" fillId="4" borderId="16" xfId="0" applyFont="1" applyFill="1" applyBorder="1"/>
    <xf numFmtId="0" fontId="36" fillId="0" borderId="16" xfId="0" applyFont="1" applyBorder="1"/>
    <xf numFmtId="4" fontId="36" fillId="0" borderId="27" xfId="0" applyNumberFormat="1" applyFont="1" applyBorder="1"/>
    <xf numFmtId="4" fontId="55" fillId="0" borderId="16" xfId="0" applyNumberFormat="1" applyFont="1" applyBorder="1"/>
    <xf numFmtId="0" fontId="45" fillId="0" borderId="16" xfId="0" applyFont="1" applyBorder="1"/>
    <xf numFmtId="0" fontId="45" fillId="0" borderId="27" xfId="0" applyFont="1" applyBorder="1"/>
    <xf numFmtId="4" fontId="45" fillId="0" borderId="27" xfId="0" applyNumberFormat="1" applyFont="1" applyBorder="1"/>
    <xf numFmtId="164" fontId="36" fillId="0" borderId="4" xfId="2" applyFont="1" applyFill="1" applyBorder="1"/>
    <xf numFmtId="164" fontId="38" fillId="0" borderId="0" xfId="0" applyNumberFormat="1" applyFont="1"/>
    <xf numFmtId="176" fontId="50" fillId="0" borderId="1" xfId="0" applyNumberFormat="1" applyFont="1" applyBorder="1" applyProtection="1">
      <protection locked="0"/>
    </xf>
    <xf numFmtId="167" fontId="45" fillId="3" borderId="4" xfId="1" applyNumberFormat="1" applyFont="1" applyFill="1" applyBorder="1" applyAlignment="1" applyProtection="1">
      <alignment vertical="center"/>
      <protection locked="0"/>
    </xf>
    <xf numFmtId="167" fontId="45" fillId="3" borderId="4" xfId="1" applyNumberFormat="1" applyFont="1" applyFill="1" applyBorder="1" applyAlignment="1" applyProtection="1">
      <alignment vertical="center" wrapText="1"/>
      <protection locked="0"/>
    </xf>
    <xf numFmtId="167" fontId="45" fillId="3" borderId="1" xfId="1" applyNumberFormat="1" applyFont="1" applyFill="1" applyBorder="1" applyAlignment="1" applyProtection="1">
      <alignment vertical="center"/>
      <protection locked="0"/>
    </xf>
    <xf numFmtId="1" fontId="54" fillId="4" borderId="27" xfId="0" applyNumberFormat="1" applyFont="1" applyFill="1" applyBorder="1" applyAlignment="1" applyProtection="1">
      <alignment horizontal="left"/>
      <protection locked="0"/>
    </xf>
    <xf numFmtId="0" fontId="54" fillId="4" borderId="27" xfId="8" applyNumberFormat="1" applyFont="1" applyFill="1" applyBorder="1" applyAlignment="1" applyProtection="1">
      <alignment horizontal="left"/>
      <protection locked="0"/>
    </xf>
    <xf numFmtId="14" fontId="54" fillId="4" borderId="27" xfId="8" applyNumberFormat="1" applyFont="1" applyFill="1" applyBorder="1" applyAlignment="1" applyProtection="1">
      <alignment horizontal="center"/>
      <protection locked="0"/>
    </xf>
    <xf numFmtId="167" fontId="46" fillId="4" borderId="27" xfId="8" applyNumberFormat="1" applyFont="1" applyFill="1" applyBorder="1" applyAlignment="1" applyProtection="1">
      <protection locked="0"/>
    </xf>
    <xf numFmtId="168" fontId="54" fillId="4" borderId="27" xfId="8" applyNumberFormat="1" applyFont="1" applyFill="1" applyBorder="1" applyAlignment="1" applyProtection="1">
      <alignment horizontal="right"/>
      <protection locked="0"/>
    </xf>
    <xf numFmtId="167" fontId="54" fillId="4" borderId="27" xfId="8" applyNumberFormat="1" applyFont="1" applyFill="1" applyBorder="1" applyAlignment="1" applyProtection="1">
      <alignment horizontal="center"/>
    </xf>
    <xf numFmtId="0" fontId="57" fillId="4" borderId="13" xfId="1" applyNumberFormat="1" applyFont="1" applyFill="1" applyBorder="1" applyAlignment="1">
      <alignment horizontal="left" wrapText="1"/>
    </xf>
    <xf numFmtId="14" fontId="54" fillId="4" borderId="16" xfId="8" applyNumberFormat="1" applyFont="1" applyFill="1" applyBorder="1" applyAlignment="1" applyProtection="1">
      <alignment horizontal="center"/>
      <protection locked="0"/>
    </xf>
    <xf numFmtId="167" fontId="46" fillId="4" borderId="16" xfId="8" applyNumberFormat="1" applyFont="1" applyFill="1" applyBorder="1" applyAlignment="1" applyProtection="1">
      <protection locked="0"/>
    </xf>
    <xf numFmtId="168" fontId="54" fillId="4" borderId="16" xfId="8" applyNumberFormat="1" applyFont="1" applyFill="1" applyBorder="1" applyAlignment="1" applyProtection="1">
      <alignment horizontal="right"/>
      <protection locked="0"/>
    </xf>
    <xf numFmtId="167" fontId="54" fillId="4" borderId="16" xfId="8" applyNumberFormat="1" applyFont="1" applyFill="1" applyBorder="1" applyAlignment="1" applyProtection="1">
      <alignment horizontal="center"/>
    </xf>
    <xf numFmtId="164" fontId="44" fillId="0" borderId="13" xfId="2" applyFont="1" applyFill="1" applyBorder="1"/>
    <xf numFmtId="0" fontId="62" fillId="0" borderId="58" xfId="0" applyFont="1" applyBorder="1"/>
    <xf numFmtId="166" fontId="38" fillId="0" borderId="25" xfId="1" applyFont="1" applyBorder="1"/>
    <xf numFmtId="166" fontId="38" fillId="0" borderId="4" xfId="1" applyFont="1" applyBorder="1"/>
    <xf numFmtId="167" fontId="54" fillId="0" borderId="27" xfId="1" applyNumberFormat="1" applyFont="1" applyFill="1" applyBorder="1" applyAlignment="1" applyProtection="1">
      <protection locked="0"/>
    </xf>
    <xf numFmtId="167" fontId="54" fillId="0" borderId="27" xfId="1" applyNumberFormat="1" applyFont="1" applyFill="1" applyBorder="1" applyAlignment="1" applyProtection="1">
      <alignment horizontal="center"/>
    </xf>
    <xf numFmtId="167" fontId="54" fillId="0" borderId="16" xfId="1" applyNumberFormat="1" applyFont="1" applyFill="1" applyBorder="1" applyAlignment="1" applyProtection="1">
      <protection locked="0"/>
    </xf>
    <xf numFmtId="167" fontId="54" fillId="0" borderId="16" xfId="1" applyNumberFormat="1" applyFont="1" applyFill="1" applyBorder="1" applyAlignment="1" applyProtection="1">
      <alignment horizontal="center"/>
    </xf>
    <xf numFmtId="164" fontId="44" fillId="0" borderId="48" xfId="2" applyFont="1" applyFill="1" applyBorder="1"/>
    <xf numFmtId="1" fontId="54" fillId="0" borderId="16" xfId="0" applyNumberFormat="1" applyFont="1" applyBorder="1" applyAlignment="1" applyProtection="1">
      <alignment horizontal="left"/>
      <protection locked="0"/>
    </xf>
    <xf numFmtId="0" fontId="54" fillId="0" borderId="16" xfId="1" applyNumberFormat="1" applyFont="1" applyFill="1" applyBorder="1" applyAlignment="1" applyProtection="1">
      <alignment horizontal="left"/>
      <protection locked="0"/>
    </xf>
    <xf numFmtId="14" fontId="54" fillId="0" borderId="16" xfId="1" applyNumberFormat="1" applyFont="1" applyFill="1" applyBorder="1" applyAlignment="1" applyProtection="1">
      <alignment horizontal="center"/>
      <protection locked="0"/>
    </xf>
    <xf numFmtId="14" fontId="54" fillId="0" borderId="16" xfId="0" applyNumberFormat="1" applyFont="1" applyBorder="1" applyAlignment="1" applyProtection="1">
      <alignment horizontal="center"/>
      <protection locked="0"/>
    </xf>
    <xf numFmtId="167" fontId="54" fillId="0" borderId="26" xfId="1" applyNumberFormat="1" applyFont="1" applyFill="1" applyBorder="1" applyAlignment="1" applyProtection="1">
      <protection locked="0"/>
    </xf>
    <xf numFmtId="167" fontId="54" fillId="0" borderId="26" xfId="1" applyNumberFormat="1" applyFont="1" applyFill="1" applyBorder="1" applyAlignment="1" applyProtection="1">
      <alignment horizontal="center"/>
    </xf>
    <xf numFmtId="164" fontId="44" fillId="0" borderId="6" xfId="2" applyFont="1" applyFill="1" applyBorder="1"/>
    <xf numFmtId="0" fontId="62" fillId="0" borderId="1" xfId="0" applyFont="1" applyBorder="1"/>
    <xf numFmtId="4" fontId="38" fillId="0" borderId="4" xfId="1" applyNumberFormat="1" applyFont="1" applyBorder="1" applyAlignment="1">
      <alignment horizontal="right"/>
    </xf>
    <xf numFmtId="4" fontId="36" fillId="0" borderId="0" xfId="1" applyNumberFormat="1" applyFont="1"/>
    <xf numFmtId="167" fontId="45" fillId="3" borderId="4" xfId="1" applyNumberFormat="1" applyFont="1" applyFill="1" applyBorder="1" applyAlignment="1" applyProtection="1">
      <alignment horizontal="center" vertical="center"/>
      <protection locked="0"/>
    </xf>
    <xf numFmtId="167" fontId="45" fillId="3" borderId="4" xfId="1" applyNumberFormat="1" applyFont="1" applyFill="1" applyBorder="1" applyAlignment="1" applyProtection="1">
      <alignment horizontal="center" vertical="center" wrapText="1"/>
      <protection locked="0"/>
    </xf>
    <xf numFmtId="167" fontId="45" fillId="3" borderId="1" xfId="1" applyNumberFormat="1" applyFont="1" applyFill="1" applyBorder="1" applyAlignment="1" applyProtection="1">
      <alignment horizontal="center" vertical="center"/>
      <protection locked="0"/>
    </xf>
    <xf numFmtId="167" fontId="45" fillId="3" borderId="7" xfId="1" applyNumberFormat="1" applyFont="1" applyFill="1" applyBorder="1" applyAlignment="1" applyProtection="1">
      <alignment horizontal="center" vertical="center" wrapText="1"/>
      <protection locked="0"/>
    </xf>
    <xf numFmtId="167" fontId="45" fillId="3" borderId="55" xfId="1" applyNumberFormat="1" applyFont="1" applyFill="1" applyBorder="1" applyAlignment="1" applyProtection="1">
      <alignment horizontal="center" vertical="center" wrapText="1"/>
      <protection locked="0"/>
    </xf>
    <xf numFmtId="0" fontId="38" fillId="16" borderId="75" xfId="0" applyFont="1" applyFill="1" applyBorder="1"/>
    <xf numFmtId="0" fontId="38" fillId="16" borderId="75" xfId="0" applyFont="1" applyFill="1" applyBorder="1" applyAlignment="1">
      <alignment horizontal="center" wrapText="1"/>
    </xf>
    <xf numFmtId="167" fontId="54" fillId="0" borderId="8" xfId="1" applyNumberFormat="1" applyFont="1" applyFill="1" applyBorder="1" applyAlignment="1" applyProtection="1">
      <protection locked="0"/>
    </xf>
    <xf numFmtId="167" fontId="54" fillId="0" borderId="13" xfId="1" applyNumberFormat="1" applyFont="1" applyFill="1" applyBorder="1" applyAlignment="1" applyProtection="1">
      <alignment horizontal="center"/>
    </xf>
    <xf numFmtId="167" fontId="55" fillId="0" borderId="25" xfId="1" applyNumberFormat="1" applyFont="1" applyFill="1" applyBorder="1" applyAlignment="1" applyProtection="1">
      <alignment horizontal="center"/>
      <protection locked="0"/>
    </xf>
    <xf numFmtId="167" fontId="54" fillId="0" borderId="13" xfId="1" applyNumberFormat="1" applyFont="1" applyFill="1" applyBorder="1" applyAlignment="1" applyProtection="1">
      <protection locked="0"/>
    </xf>
    <xf numFmtId="164" fontId="57" fillId="0" borderId="48" xfId="2" applyFont="1" applyFill="1" applyBorder="1"/>
    <xf numFmtId="0" fontId="38" fillId="16" borderId="76" xfId="0" applyFont="1" applyFill="1" applyBorder="1" applyAlignment="1">
      <alignment horizontal="left"/>
    </xf>
    <xf numFmtId="166" fontId="38" fillId="16" borderId="76" xfId="0" applyNumberFormat="1" applyFont="1" applyFill="1" applyBorder="1"/>
    <xf numFmtId="0" fontId="36" fillId="5" borderId="0" xfId="0" applyFont="1" applyFill="1" applyAlignment="1">
      <alignment horizontal="left"/>
    </xf>
    <xf numFmtId="166" fontId="36" fillId="5" borderId="0" xfId="0" applyNumberFormat="1" applyFont="1" applyFill="1"/>
    <xf numFmtId="43" fontId="57" fillId="0" borderId="0" xfId="0" applyNumberFormat="1" applyFont="1"/>
    <xf numFmtId="10" fontId="57" fillId="0" borderId="0" xfId="3" applyNumberFormat="1" applyFont="1" applyFill="1"/>
    <xf numFmtId="166" fontId="57" fillId="0" borderId="0" xfId="1" applyFont="1" applyFill="1"/>
    <xf numFmtId="167" fontId="57" fillId="0" borderId="13" xfId="0" applyNumberFormat="1" applyFont="1" applyBorder="1"/>
    <xf numFmtId="0" fontId="57" fillId="0" borderId="13" xfId="0" applyFont="1" applyBorder="1"/>
    <xf numFmtId="167" fontId="54" fillId="0" borderId="48" xfId="1" applyNumberFormat="1" applyFont="1" applyFill="1" applyBorder="1" applyAlignment="1" applyProtection="1">
      <protection locked="0"/>
    </xf>
    <xf numFmtId="14" fontId="54" fillId="0" borderId="26" xfId="1" applyNumberFormat="1" applyFont="1" applyFill="1" applyBorder="1" applyAlignment="1" applyProtection="1">
      <alignment horizontal="center"/>
      <protection locked="0"/>
    </xf>
    <xf numFmtId="167" fontId="54" fillId="0" borderId="6" xfId="1" applyNumberFormat="1" applyFont="1" applyFill="1" applyBorder="1" applyAlignment="1" applyProtection="1">
      <protection locked="0"/>
    </xf>
    <xf numFmtId="4" fontId="36" fillId="6" borderId="0" xfId="1" applyNumberFormat="1" applyFont="1" applyFill="1"/>
    <xf numFmtId="1" fontId="54" fillId="4" borderId="18" xfId="0" applyNumberFormat="1" applyFont="1" applyFill="1" applyBorder="1" applyAlignment="1" applyProtection="1">
      <alignment horizontal="left"/>
      <protection locked="0"/>
    </xf>
    <xf numFmtId="0" fontId="54" fillId="4" borderId="18" xfId="1" applyNumberFormat="1" applyFont="1" applyFill="1" applyBorder="1" applyAlignment="1" applyProtection="1">
      <alignment horizontal="left"/>
      <protection locked="0"/>
    </xf>
    <xf numFmtId="0" fontId="54" fillId="4" borderId="18" xfId="0" applyFont="1" applyFill="1" applyBorder="1" applyAlignment="1" applyProtection="1">
      <alignment horizontal="left"/>
      <protection locked="0"/>
    </xf>
    <xf numFmtId="0" fontId="46" fillId="0" borderId="18" xfId="0" applyFont="1" applyBorder="1" applyAlignment="1" applyProtection="1">
      <alignment horizontal="left"/>
      <protection locked="0"/>
    </xf>
    <xf numFmtId="4" fontId="46" fillId="0" borderId="18" xfId="0" applyNumberFormat="1" applyFont="1" applyBorder="1" applyAlignment="1" applyProtection="1">
      <alignment horizontal="left"/>
      <protection locked="0"/>
    </xf>
    <xf numFmtId="14" fontId="54" fillId="4" borderId="18" xfId="1" applyNumberFormat="1" applyFont="1" applyFill="1" applyBorder="1" applyAlignment="1" applyProtection="1">
      <alignment horizontal="center"/>
      <protection locked="0"/>
    </xf>
    <xf numFmtId="167" fontId="54" fillId="0" borderId="18" xfId="1" applyNumberFormat="1" applyFont="1" applyFill="1" applyBorder="1" applyAlignment="1" applyProtection="1">
      <protection locked="0"/>
    </xf>
    <xf numFmtId="167" fontId="46" fillId="0" borderId="25" xfId="1" applyNumberFormat="1" applyFont="1" applyFill="1" applyBorder="1" applyAlignment="1" applyProtection="1">
      <protection locked="0"/>
    </xf>
    <xf numFmtId="167" fontId="46" fillId="4" borderId="25" xfId="1" applyNumberFormat="1" applyFont="1" applyFill="1" applyBorder="1" applyAlignment="1" applyProtection="1">
      <protection locked="0"/>
    </xf>
    <xf numFmtId="167" fontId="54" fillId="0" borderId="18" xfId="1" applyNumberFormat="1" applyFont="1" applyFill="1" applyBorder="1" applyAlignment="1" applyProtection="1">
      <alignment horizontal="center"/>
    </xf>
    <xf numFmtId="4" fontId="38" fillId="0" borderId="25" xfId="1" applyNumberFormat="1" applyFont="1" applyBorder="1" applyAlignment="1">
      <alignment horizontal="right"/>
    </xf>
    <xf numFmtId="1" fontId="54" fillId="0" borderId="13" xfId="1" applyNumberFormat="1" applyFont="1" applyFill="1" applyBorder="1" applyAlignment="1" applyProtection="1">
      <protection locked="0"/>
    </xf>
    <xf numFmtId="167" fontId="54" fillId="4" borderId="8" xfId="1" applyNumberFormat="1" applyFont="1" applyFill="1" applyBorder="1" applyAlignment="1" applyProtection="1">
      <protection locked="0"/>
    </xf>
    <xf numFmtId="167" fontId="55" fillId="3" borderId="25" xfId="1" applyNumberFormat="1" applyFont="1" applyFill="1" applyBorder="1" applyAlignment="1" applyProtection="1">
      <alignment horizontal="center"/>
      <protection locked="0"/>
    </xf>
    <xf numFmtId="166" fontId="57" fillId="0" borderId="0" xfId="0" applyNumberFormat="1" applyFont="1"/>
    <xf numFmtId="166" fontId="57" fillId="0" borderId="0" xfId="1" applyFont="1"/>
    <xf numFmtId="4" fontId="54" fillId="0" borderId="48" xfId="0" applyNumberFormat="1" applyFont="1" applyBorder="1" applyAlignment="1" applyProtection="1">
      <alignment horizontal="left"/>
      <protection locked="0"/>
    </xf>
    <xf numFmtId="170" fontId="54" fillId="0" borderId="48" xfId="0" applyNumberFormat="1" applyFont="1" applyBorder="1" applyAlignment="1" applyProtection="1">
      <alignment horizontal="center"/>
      <protection locked="0"/>
    </xf>
    <xf numFmtId="167" fontId="54" fillId="4" borderId="48" xfId="1" applyNumberFormat="1" applyFont="1" applyFill="1" applyBorder="1" applyAlignment="1" applyProtection="1">
      <protection locked="0"/>
    </xf>
    <xf numFmtId="0" fontId="62" fillId="16" borderId="76" xfId="0" applyFont="1" applyFill="1" applyBorder="1" applyAlignment="1">
      <alignment horizontal="left"/>
    </xf>
    <xf numFmtId="166" fontId="62" fillId="16" borderId="76" xfId="1" applyFont="1" applyFill="1" applyBorder="1"/>
    <xf numFmtId="0" fontId="62" fillId="16" borderId="75" xfId="0" applyFont="1" applyFill="1" applyBorder="1"/>
    <xf numFmtId="10" fontId="57" fillId="0" borderId="0" xfId="3" applyNumberFormat="1" applyFont="1"/>
    <xf numFmtId="166" fontId="62" fillId="16" borderId="76" xfId="0" applyNumberFormat="1" applyFont="1" applyFill="1" applyBorder="1"/>
    <xf numFmtId="1" fontId="54" fillId="4" borderId="13" xfId="0" applyNumberFormat="1" applyFont="1" applyFill="1" applyBorder="1" applyAlignment="1" applyProtection="1">
      <alignment horizontal="left"/>
      <protection locked="0"/>
    </xf>
    <xf numFmtId="0" fontId="54" fillId="4" borderId="48" xfId="1" applyNumberFormat="1" applyFont="1" applyFill="1" applyBorder="1" applyAlignment="1" applyProtection="1">
      <alignment horizontal="left"/>
      <protection locked="0"/>
    </xf>
    <xf numFmtId="0" fontId="54" fillId="4" borderId="13" xfId="0" applyFont="1" applyFill="1" applyBorder="1" applyAlignment="1" applyProtection="1">
      <alignment horizontal="left"/>
      <protection locked="0"/>
    </xf>
    <xf numFmtId="14" fontId="54" fillId="4" borderId="48" xfId="1" applyNumberFormat="1" applyFont="1" applyFill="1" applyBorder="1" applyAlignment="1" applyProtection="1">
      <alignment horizontal="center"/>
      <protection locked="0"/>
    </xf>
    <xf numFmtId="0" fontId="54" fillId="4" borderId="13" xfId="1" applyNumberFormat="1" applyFont="1" applyFill="1" applyBorder="1" applyAlignment="1" applyProtection="1">
      <alignment horizontal="left"/>
      <protection locked="0"/>
    </xf>
    <xf numFmtId="14" fontId="54" fillId="4" borderId="13" xfId="1" applyNumberFormat="1" applyFont="1" applyFill="1" applyBorder="1" applyAlignment="1" applyProtection="1">
      <alignment horizontal="center"/>
      <protection locked="0"/>
    </xf>
    <xf numFmtId="1" fontId="46" fillId="0" borderId="16" xfId="1" applyNumberFormat="1" applyFont="1" applyFill="1" applyBorder="1" applyAlignment="1" applyProtection="1">
      <protection locked="0"/>
    </xf>
    <xf numFmtId="4" fontId="46" fillId="0" borderId="16" xfId="0" applyNumberFormat="1" applyFont="1" applyBorder="1" applyAlignment="1" applyProtection="1">
      <alignment horizontal="left"/>
      <protection locked="0"/>
    </xf>
    <xf numFmtId="0" fontId="46" fillId="0" borderId="16" xfId="0" applyFont="1" applyBorder="1" applyAlignment="1" applyProtection="1">
      <alignment horizontal="left"/>
      <protection locked="0"/>
    </xf>
    <xf numFmtId="170" fontId="46" fillId="0" borderId="16" xfId="0" applyNumberFormat="1" applyFont="1" applyBorder="1" applyAlignment="1" applyProtection="1">
      <alignment horizontal="center"/>
      <protection locked="0"/>
    </xf>
    <xf numFmtId="167" fontId="46" fillId="0" borderId="16" xfId="1" applyNumberFormat="1" applyFont="1" applyFill="1" applyBorder="1" applyAlignment="1" applyProtection="1">
      <protection locked="0"/>
    </xf>
    <xf numFmtId="167" fontId="54" fillId="0" borderId="48" xfId="1" applyNumberFormat="1" applyFont="1" applyFill="1" applyBorder="1" applyAlignment="1" applyProtection="1">
      <alignment horizontal="center"/>
    </xf>
    <xf numFmtId="167" fontId="45" fillId="0" borderId="25" xfId="1" applyNumberFormat="1" applyFont="1" applyFill="1" applyBorder="1" applyAlignment="1" applyProtection="1">
      <alignment horizontal="center"/>
      <protection locked="0"/>
    </xf>
    <xf numFmtId="166" fontId="36" fillId="0" borderId="0" xfId="1" applyFont="1" applyFill="1"/>
    <xf numFmtId="166" fontId="57" fillId="0" borderId="0" xfId="1" applyFont="1" applyAlignment="1">
      <alignment horizontal="right"/>
    </xf>
    <xf numFmtId="177" fontId="36" fillId="0" borderId="0" xfId="0" applyNumberFormat="1" applyFont="1"/>
    <xf numFmtId="164" fontId="57" fillId="0" borderId="0" xfId="2" applyFont="1" applyAlignment="1">
      <alignment horizontal="right"/>
    </xf>
    <xf numFmtId="9" fontId="41" fillId="7" borderId="0" xfId="3" applyFont="1" applyFill="1"/>
    <xf numFmtId="10" fontId="41" fillId="7" borderId="0" xfId="3" applyNumberFormat="1" applyFont="1" applyFill="1"/>
    <xf numFmtId="0" fontId="57" fillId="0" borderId="0" xfId="0" applyFont="1" applyAlignment="1">
      <alignment wrapText="1"/>
    </xf>
    <xf numFmtId="0" fontId="63" fillId="7" borderId="0" xfId="0" applyFont="1" applyFill="1" applyAlignment="1">
      <alignment wrapText="1"/>
    </xf>
    <xf numFmtId="164" fontId="63" fillId="7" borderId="0" xfId="2" applyFont="1" applyFill="1" applyAlignment="1">
      <alignment horizontal="right"/>
    </xf>
    <xf numFmtId="1" fontId="46" fillId="4" borderId="16" xfId="1" applyNumberFormat="1" applyFont="1" applyFill="1" applyBorder="1" applyAlignment="1" applyProtection="1">
      <protection locked="0"/>
    </xf>
    <xf numFmtId="170" fontId="46" fillId="4" borderId="16" xfId="0" applyNumberFormat="1" applyFont="1" applyFill="1" applyBorder="1" applyAlignment="1" applyProtection="1">
      <alignment horizontal="center"/>
      <protection locked="0"/>
    </xf>
    <xf numFmtId="167" fontId="46" fillId="4" borderId="16" xfId="1" applyNumberFormat="1" applyFont="1" applyFill="1" applyBorder="1" applyAlignment="1" applyProtection="1">
      <protection locked="0"/>
    </xf>
    <xf numFmtId="166" fontId="38" fillId="0" borderId="25" xfId="1" applyFont="1" applyBorder="1" applyAlignment="1">
      <alignment horizontal="right"/>
    </xf>
    <xf numFmtId="9" fontId="57" fillId="6" borderId="0" xfId="3" applyFont="1" applyFill="1"/>
    <xf numFmtId="166" fontId="57" fillId="10" borderId="0" xfId="1" applyFont="1" applyFill="1"/>
    <xf numFmtId="43" fontId="36" fillId="10" borderId="0" xfId="0" applyNumberFormat="1" applyFont="1" applyFill="1"/>
    <xf numFmtId="0" fontId="38" fillId="0" borderId="47" xfId="0" applyFont="1" applyBorder="1" applyAlignment="1">
      <alignment horizontal="center"/>
    </xf>
    <xf numFmtId="164" fontId="36" fillId="0" borderId="0" xfId="2" applyFont="1" applyFill="1"/>
    <xf numFmtId="9" fontId="36" fillId="0" borderId="0" xfId="0" applyNumberFormat="1" applyFont="1" applyAlignment="1">
      <alignment horizontal="center"/>
    </xf>
    <xf numFmtId="164" fontId="36" fillId="0" borderId="0" xfId="2" applyFont="1" applyFill="1" applyBorder="1"/>
    <xf numFmtId="164" fontId="36" fillId="0" borderId="0" xfId="0" applyNumberFormat="1" applyFont="1"/>
    <xf numFmtId="10" fontId="36" fillId="0" borderId="0" xfId="3" applyNumberFormat="1" applyFont="1" applyFill="1" applyAlignment="1">
      <alignment horizontal="center"/>
    </xf>
    <xf numFmtId="0" fontId="38" fillId="0" borderId="0" xfId="0" applyFont="1"/>
    <xf numFmtId="164" fontId="38" fillId="0" borderId="0" xfId="2" applyFont="1"/>
    <xf numFmtId="0" fontId="38" fillId="0" borderId="0" xfId="0" applyFont="1" applyAlignment="1">
      <alignment horizontal="center"/>
    </xf>
    <xf numFmtId="2" fontId="36" fillId="0" borderId="0" xfId="0" applyNumberFormat="1" applyFont="1"/>
    <xf numFmtId="164" fontId="38" fillId="15" borderId="0" xfId="2" applyFont="1" applyFill="1"/>
    <xf numFmtId="0" fontId="36" fillId="9" borderId="0" xfId="0" applyFont="1" applyFill="1" applyAlignment="1">
      <alignment horizontal="left"/>
    </xf>
    <xf numFmtId="164" fontId="36" fillId="15" borderId="0" xfId="2" applyFont="1" applyFill="1" applyBorder="1"/>
    <xf numFmtId="164" fontId="36" fillId="15" borderId="0" xfId="2" applyFont="1" applyFill="1"/>
    <xf numFmtId="10" fontId="36" fillId="15" borderId="0" xfId="3" applyNumberFormat="1" applyFont="1" applyFill="1" applyAlignment="1">
      <alignment horizontal="center"/>
    </xf>
    <xf numFmtId="9" fontId="36" fillId="15" borderId="0" xfId="0" applyNumberFormat="1" applyFont="1" applyFill="1" applyAlignment="1">
      <alignment horizontal="center"/>
    </xf>
    <xf numFmtId="10" fontId="38" fillId="0" borderId="0" xfId="3" applyNumberFormat="1" applyFont="1" applyAlignment="1">
      <alignment horizontal="center"/>
    </xf>
    <xf numFmtId="0" fontId="64" fillId="0" borderId="0" xfId="0" applyFont="1"/>
    <xf numFmtId="166" fontId="64" fillId="0" borderId="0" xfId="1" applyFont="1"/>
    <xf numFmtId="0" fontId="64" fillId="0" borderId="0" xfId="0" applyFont="1" applyAlignment="1">
      <alignment horizontal="left"/>
    </xf>
    <xf numFmtId="171" fontId="64" fillId="0" borderId="0" xfId="0" applyNumberFormat="1" applyFont="1"/>
    <xf numFmtId="0" fontId="36" fillId="15" borderId="0" xfId="0" applyFont="1" applyFill="1" applyAlignment="1">
      <alignment horizontal="center"/>
    </xf>
    <xf numFmtId="0" fontId="46" fillId="0" borderId="0" xfId="5" applyFont="1" applyAlignment="1">
      <alignment vertical="center" wrapText="1"/>
    </xf>
    <xf numFmtId="0" fontId="46" fillId="0" borderId="0" xfId="5" applyFont="1" applyAlignment="1">
      <alignment horizontal="center" vertical="center" wrapText="1"/>
    </xf>
    <xf numFmtId="0" fontId="48" fillId="0" borderId="0" xfId="5" applyFont="1" applyAlignment="1">
      <alignment horizontal="centerContinuous" vertical="center" wrapText="1"/>
    </xf>
    <xf numFmtId="172" fontId="48" fillId="0" borderId="0" xfId="5" applyNumberFormat="1" applyFont="1" applyAlignment="1">
      <alignment horizontal="center" vertical="center" wrapText="1"/>
    </xf>
    <xf numFmtId="172" fontId="46" fillId="0" borderId="0" xfId="5" applyNumberFormat="1" applyFont="1" applyAlignment="1">
      <alignment vertical="center" wrapText="1"/>
    </xf>
    <xf numFmtId="2" fontId="46" fillId="0" borderId="0" xfId="5" applyNumberFormat="1" applyFont="1" applyAlignment="1">
      <alignment vertical="center" wrapText="1"/>
    </xf>
    <xf numFmtId="10" fontId="46" fillId="6" borderId="0" xfId="3" applyNumberFormat="1" applyFont="1" applyFill="1" applyAlignment="1">
      <alignment vertical="center" wrapText="1"/>
    </xf>
    <xf numFmtId="10" fontId="46" fillId="10" borderId="0" xfId="3" applyNumberFormat="1" applyFont="1" applyFill="1" applyAlignment="1">
      <alignment vertical="center" wrapText="1"/>
    </xf>
    <xf numFmtId="10" fontId="46" fillId="0" borderId="0" xfId="3" applyNumberFormat="1" applyFont="1" applyFill="1" applyAlignment="1">
      <alignment vertical="center" wrapText="1"/>
    </xf>
    <xf numFmtId="0" fontId="46" fillId="0" borderId="0" xfId="5" applyFont="1" applyAlignment="1">
      <alignment vertical="center"/>
    </xf>
    <xf numFmtId="4" fontId="46" fillId="0" borderId="0" xfId="5" applyNumberFormat="1" applyFont="1" applyAlignment="1">
      <alignment vertical="center" wrapText="1"/>
    </xf>
    <xf numFmtId="10" fontId="46" fillId="0" borderId="0" xfId="5" applyNumberFormat="1" applyFont="1" applyAlignment="1">
      <alignment vertical="center" wrapText="1"/>
    </xf>
    <xf numFmtId="166" fontId="46" fillId="0" borderId="0" xfId="1" applyFont="1" applyAlignment="1">
      <alignment vertical="center" wrapText="1"/>
    </xf>
    <xf numFmtId="43" fontId="46" fillId="0" borderId="0" xfId="5" applyNumberFormat="1" applyFont="1" applyAlignment="1">
      <alignment vertical="center" wrapText="1"/>
    </xf>
    <xf numFmtId="166" fontId="46" fillId="6" borderId="0" xfId="1" applyFont="1" applyFill="1" applyAlignment="1">
      <alignment vertical="center" wrapText="1"/>
    </xf>
    <xf numFmtId="173" fontId="46" fillId="0" borderId="0" xfId="5" applyNumberFormat="1" applyFont="1" applyAlignment="1">
      <alignment vertical="center" wrapText="1"/>
    </xf>
    <xf numFmtId="2" fontId="51" fillId="4" borderId="0" xfId="0" applyNumberFormat="1" applyFont="1" applyFill="1" applyAlignment="1">
      <alignment horizontal="center" vertical="center"/>
    </xf>
    <xf numFmtId="2" fontId="51" fillId="4" borderId="0" xfId="0" applyNumberFormat="1" applyFont="1" applyFill="1" applyAlignment="1">
      <alignment horizontal="center" vertical="center" wrapText="1"/>
    </xf>
    <xf numFmtId="1" fontId="46" fillId="17" borderId="13" xfId="1" applyNumberFormat="1" applyFont="1" applyFill="1" applyBorder="1" applyAlignment="1" applyProtection="1">
      <protection locked="0"/>
    </xf>
    <xf numFmtId="4" fontId="46" fillId="17" borderId="48" xfId="0" applyNumberFormat="1" applyFont="1" applyFill="1" applyBorder="1" applyAlignment="1" applyProtection="1">
      <alignment horizontal="left"/>
      <protection locked="0"/>
    </xf>
    <xf numFmtId="0" fontId="46" fillId="17" borderId="13" xfId="0" applyFont="1" applyFill="1" applyBorder="1" applyAlignment="1" applyProtection="1">
      <alignment horizontal="left"/>
      <protection locked="0"/>
    </xf>
    <xf numFmtId="4" fontId="46" fillId="17" borderId="13" xfId="0" applyNumberFormat="1" applyFont="1" applyFill="1" applyBorder="1" applyAlignment="1" applyProtection="1">
      <alignment horizontal="left"/>
      <protection locked="0"/>
    </xf>
    <xf numFmtId="170" fontId="46" fillId="17" borderId="48" xfId="0" applyNumberFormat="1" applyFont="1" applyFill="1" applyBorder="1" applyAlignment="1" applyProtection="1">
      <alignment horizontal="center"/>
      <protection locked="0"/>
    </xf>
    <xf numFmtId="167" fontId="46" fillId="17" borderId="48" xfId="1" applyNumberFormat="1" applyFont="1" applyFill="1" applyBorder="1" applyAlignment="1" applyProtection="1">
      <protection locked="0"/>
    </xf>
    <xf numFmtId="167" fontId="46" fillId="17" borderId="13" xfId="1" applyNumberFormat="1" applyFont="1" applyFill="1" applyBorder="1" applyAlignment="1" applyProtection="1">
      <alignment horizontal="center"/>
    </xf>
    <xf numFmtId="1" fontId="46" fillId="17" borderId="13" xfId="0" applyNumberFormat="1" applyFont="1" applyFill="1" applyBorder="1" applyAlignment="1" applyProtection="1">
      <alignment horizontal="left"/>
      <protection locked="0"/>
    </xf>
    <xf numFmtId="0" fontId="46" fillId="17" borderId="13" xfId="1" applyNumberFormat="1" applyFont="1" applyFill="1" applyBorder="1" applyAlignment="1" applyProtection="1">
      <alignment horizontal="left"/>
      <protection locked="0"/>
    </xf>
    <xf numFmtId="14" fontId="46" fillId="17" borderId="13" xfId="1" applyNumberFormat="1" applyFont="1" applyFill="1" applyBorder="1" applyAlignment="1" applyProtection="1">
      <alignment horizontal="center"/>
      <protection locked="0"/>
    </xf>
    <xf numFmtId="167" fontId="46" fillId="17" borderId="13" xfId="1" applyNumberFormat="1" applyFont="1" applyFill="1" applyBorder="1" applyAlignment="1" applyProtection="1">
      <protection locked="0"/>
    </xf>
    <xf numFmtId="167" fontId="36" fillId="0" borderId="0" xfId="0" applyNumberFormat="1" applyFont="1"/>
    <xf numFmtId="0" fontId="46" fillId="17" borderId="0" xfId="0" applyFont="1" applyFill="1" applyAlignment="1" applyProtection="1">
      <alignment horizontal="left"/>
      <protection locked="0"/>
    </xf>
    <xf numFmtId="0" fontId="2" fillId="51" borderId="55" xfId="0" applyFont="1" applyFill="1" applyBorder="1"/>
    <xf numFmtId="0" fontId="2" fillId="6" borderId="54" xfId="0" applyFont="1" applyFill="1" applyBorder="1"/>
    <xf numFmtId="0" fontId="2" fillId="7" borderId="58" xfId="0" applyFont="1" applyFill="1" applyBorder="1"/>
    <xf numFmtId="0" fontId="36" fillId="0" borderId="49" xfId="0" applyFont="1" applyBorder="1"/>
    <xf numFmtId="10" fontId="2" fillId="51" borderId="7" xfId="3" applyNumberFormat="1" applyFont="1" applyFill="1" applyBorder="1"/>
    <xf numFmtId="10" fontId="2" fillId="6" borderId="6" xfId="3" applyNumberFormat="1" applyFont="1" applyFill="1" applyBorder="1"/>
    <xf numFmtId="0" fontId="36" fillId="0" borderId="5" xfId="0" applyFont="1" applyBorder="1"/>
    <xf numFmtId="10" fontId="2" fillId="7" borderId="25" xfId="3" applyNumberFormat="1" applyFont="1" applyFill="1" applyBorder="1"/>
    <xf numFmtId="0" fontId="46" fillId="52" borderId="0" xfId="5" applyFont="1" applyFill="1" applyAlignment="1">
      <alignment vertical="center" wrapText="1"/>
    </xf>
    <xf numFmtId="0" fontId="48" fillId="52" borderId="0" xfId="5" applyFont="1" applyFill="1" applyAlignment="1">
      <alignment horizontal="center" vertical="center" wrapText="1"/>
    </xf>
    <xf numFmtId="0" fontId="66" fillId="8" borderId="16" xfId="5" applyFont="1" applyFill="1" applyBorder="1" applyAlignment="1">
      <alignment horizontal="center" vertical="center" wrapText="1"/>
    </xf>
    <xf numFmtId="0" fontId="66" fillId="8" borderId="16" xfId="5" quotePrefix="1" applyFont="1" applyFill="1" applyBorder="1" applyAlignment="1">
      <alignment horizontal="center" vertical="center" wrapText="1"/>
    </xf>
    <xf numFmtId="0" fontId="46" fillId="49" borderId="16" xfId="5" applyFont="1" applyFill="1" applyBorder="1" applyAlignment="1">
      <alignment vertical="center" wrapText="1"/>
    </xf>
    <xf numFmtId="0" fontId="46" fillId="0" borderId="87" xfId="5" applyFont="1" applyBorder="1" applyAlignment="1">
      <alignment vertical="center" wrapText="1"/>
    </xf>
    <xf numFmtId="0" fontId="46" fillId="0" borderId="87" xfId="5" applyFont="1" applyBorder="1" applyAlignment="1">
      <alignment horizontal="center" vertical="center" wrapText="1"/>
    </xf>
    <xf numFmtId="0" fontId="48" fillId="0" borderId="87" xfId="5" applyFont="1" applyBorder="1" applyAlignment="1">
      <alignment vertical="center" wrapText="1"/>
    </xf>
    <xf numFmtId="172" fontId="48" fillId="0" borderId="87" xfId="5" applyNumberFormat="1" applyFont="1" applyBorder="1" applyAlignment="1">
      <alignment horizontal="center" vertical="center" wrapText="1"/>
    </xf>
    <xf numFmtId="172" fontId="46" fillId="0" borderId="87" xfId="5" applyNumberFormat="1" applyFont="1" applyBorder="1" applyAlignment="1">
      <alignment vertical="center" wrapText="1"/>
    </xf>
    <xf numFmtId="0" fontId="48" fillId="0" borderId="87" xfId="5" quotePrefix="1" applyFont="1" applyBorder="1" applyAlignment="1">
      <alignment horizontal="left" vertical="center" wrapText="1"/>
    </xf>
    <xf numFmtId="0" fontId="46" fillId="49" borderId="27" xfId="5" applyFont="1" applyFill="1" applyBorder="1" applyAlignment="1">
      <alignment vertical="center" wrapText="1"/>
    </xf>
    <xf numFmtId="0" fontId="46" fillId="0" borderId="60" xfId="5" applyFont="1" applyBorder="1" applyAlignment="1">
      <alignment vertical="center" wrapText="1"/>
    </xf>
    <xf numFmtId="172" fontId="46" fillId="49" borderId="39" xfId="5" applyNumberFormat="1" applyFont="1" applyFill="1" applyBorder="1" applyAlignment="1">
      <alignment vertical="center" wrapText="1"/>
    </xf>
    <xf numFmtId="2" fontId="48" fillId="0" borderId="26" xfId="5" applyNumberFormat="1" applyFont="1" applyBorder="1" applyAlignment="1">
      <alignment horizontal="center" vertical="center" wrapText="1"/>
    </xf>
    <xf numFmtId="2" fontId="48" fillId="0" borderId="26" xfId="0" applyNumberFormat="1" applyFont="1" applyBorder="1" applyAlignment="1">
      <alignment horizontal="center" vertical="center" wrapText="1"/>
    </xf>
    <xf numFmtId="2" fontId="46" fillId="0" borderId="87" xfId="5" applyNumberFormat="1" applyFont="1" applyBorder="1" applyAlignment="1">
      <alignment vertical="center" wrapText="1"/>
    </xf>
    <xf numFmtId="2" fontId="48" fillId="0" borderId="87" xfId="0" applyNumberFormat="1" applyFont="1" applyBorder="1" applyAlignment="1">
      <alignment horizontal="center" vertical="center" wrapText="1"/>
    </xf>
    <xf numFmtId="2" fontId="48" fillId="0" borderId="87" xfId="5" applyNumberFormat="1" applyFont="1" applyBorder="1" applyAlignment="1">
      <alignment horizontal="center" vertical="center" wrapText="1"/>
    </xf>
    <xf numFmtId="2" fontId="48" fillId="4" borderId="87" xfId="0" applyNumberFormat="1" applyFont="1" applyFill="1" applyBorder="1" applyAlignment="1">
      <alignment horizontal="center" vertical="center" wrapText="1"/>
    </xf>
    <xf numFmtId="2" fontId="48" fillId="0" borderId="27" xfId="5" applyNumberFormat="1" applyFont="1" applyBorder="1" applyAlignment="1">
      <alignment horizontal="center" vertical="center" wrapText="1"/>
    </xf>
    <xf numFmtId="2" fontId="48" fillId="0" borderId="27" xfId="0" applyNumberFormat="1" applyFont="1" applyBorder="1" applyAlignment="1">
      <alignment horizontal="center" vertical="center" wrapText="1"/>
    </xf>
    <xf numFmtId="2" fontId="48" fillId="4" borderId="27" xfId="0" applyNumberFormat="1" applyFont="1" applyFill="1" applyBorder="1" applyAlignment="1">
      <alignment horizontal="center" vertical="center" wrapText="1"/>
    </xf>
    <xf numFmtId="172" fontId="48" fillId="0" borderId="26" xfId="5" applyNumberFormat="1" applyFont="1" applyBorder="1" applyAlignment="1">
      <alignment horizontal="center" vertical="center" wrapText="1"/>
    </xf>
    <xf numFmtId="172" fontId="48" fillId="0" borderId="27" xfId="5" applyNumberFormat="1" applyFont="1" applyBorder="1" applyAlignment="1">
      <alignment horizontal="center" vertical="center" wrapText="1"/>
    </xf>
    <xf numFmtId="2" fontId="48" fillId="0" borderId="59" xfId="0" applyNumberFormat="1" applyFont="1" applyBorder="1" applyAlignment="1">
      <alignment horizontal="center" vertical="center" wrapText="1"/>
    </xf>
    <xf numFmtId="2" fontId="48" fillId="0" borderId="60" xfId="0" applyNumberFormat="1" applyFont="1" applyBorder="1" applyAlignment="1">
      <alignment horizontal="center" vertical="center" wrapText="1"/>
    </xf>
    <xf numFmtId="2" fontId="48" fillId="0" borderId="61" xfId="0" applyNumberFormat="1" applyFont="1" applyBorder="1" applyAlignment="1">
      <alignment horizontal="center" vertical="center" wrapText="1"/>
    </xf>
    <xf numFmtId="172" fontId="46" fillId="49" borderId="27" xfId="5" applyNumberFormat="1" applyFont="1" applyFill="1" applyBorder="1" applyAlignment="1">
      <alignment vertical="center" wrapText="1"/>
    </xf>
    <xf numFmtId="166" fontId="46" fillId="52" borderId="0" xfId="1" applyFont="1" applyFill="1" applyAlignment="1">
      <alignment horizontal="center" vertical="center" wrapText="1"/>
    </xf>
    <xf numFmtId="167" fontId="34" fillId="0" borderId="16" xfId="1" applyNumberFormat="1" applyFont="1" applyFill="1" applyBorder="1" applyAlignment="1" applyProtection="1">
      <alignment horizontal="left" vertical="center"/>
      <protection locked="0"/>
    </xf>
    <xf numFmtId="170" fontId="34" fillId="0" borderId="16" xfId="1" applyNumberFormat="1" applyFont="1" applyFill="1" applyBorder="1" applyAlignment="1" applyProtection="1">
      <alignment horizontal="center" vertical="center"/>
      <protection locked="0"/>
    </xf>
    <xf numFmtId="167" fontId="34" fillId="0" borderId="16" xfId="1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167" fontId="69" fillId="0" borderId="16" xfId="1" applyNumberFormat="1" applyFont="1" applyFill="1" applyBorder="1" applyAlignment="1" applyProtection="1">
      <alignment horizontal="left" vertical="center"/>
      <protection locked="0"/>
    </xf>
    <xf numFmtId="170" fontId="69" fillId="0" borderId="16" xfId="1" applyNumberFormat="1" applyFont="1" applyFill="1" applyBorder="1" applyAlignment="1" applyProtection="1">
      <alignment horizontal="center" vertical="center"/>
      <protection locked="0"/>
    </xf>
    <xf numFmtId="167" fontId="69" fillId="0" borderId="16" xfId="1" applyNumberFormat="1" applyFont="1" applyFill="1" applyBorder="1" applyAlignment="1" applyProtection="1">
      <alignment horizontal="center" vertical="center"/>
      <protection locked="0"/>
    </xf>
    <xf numFmtId="1" fontId="34" fillId="0" borderId="16" xfId="1" applyNumberFormat="1" applyFont="1" applyFill="1" applyBorder="1" applyAlignment="1" applyProtection="1">
      <protection locked="0"/>
    </xf>
    <xf numFmtId="4" fontId="34" fillId="0" borderId="16" xfId="0" applyNumberFormat="1" applyFont="1" applyBorder="1" applyAlignment="1" applyProtection="1">
      <alignment horizontal="left"/>
      <protection locked="0"/>
    </xf>
    <xf numFmtId="0" fontId="34" fillId="0" borderId="16" xfId="0" applyFont="1" applyBorder="1" applyAlignment="1" applyProtection="1">
      <alignment horizontal="left"/>
      <protection locked="0"/>
    </xf>
    <xf numFmtId="170" fontId="34" fillId="0" borderId="16" xfId="0" applyNumberFormat="1" applyFont="1" applyBorder="1" applyAlignment="1" applyProtection="1">
      <alignment horizontal="center"/>
      <protection locked="0"/>
    </xf>
    <xf numFmtId="167" fontId="34" fillId="0" borderId="16" xfId="1" applyNumberFormat="1" applyFont="1" applyFill="1" applyBorder="1" applyAlignment="1" applyProtection="1">
      <protection locked="0"/>
    </xf>
    <xf numFmtId="0" fontId="38" fillId="10" borderId="55" xfId="0" applyFont="1" applyFill="1" applyBorder="1"/>
    <xf numFmtId="167" fontId="45" fillId="0" borderId="16" xfId="1" applyNumberFormat="1" applyFont="1" applyFill="1" applyBorder="1" applyAlignment="1" applyProtection="1">
      <alignment horizontal="center"/>
      <protection locked="0"/>
    </xf>
    <xf numFmtId="167" fontId="45" fillId="0" borderId="26" xfId="1" applyNumberFormat="1" applyFont="1" applyFill="1" applyBorder="1" applyAlignment="1" applyProtection="1">
      <alignment horizontal="center"/>
      <protection locked="0"/>
    </xf>
    <xf numFmtId="170" fontId="46" fillId="4" borderId="26" xfId="0" applyNumberFormat="1" applyFont="1" applyFill="1" applyBorder="1" applyAlignment="1" applyProtection="1">
      <alignment horizontal="center"/>
      <protection locked="0"/>
    </xf>
    <xf numFmtId="167" fontId="46" fillId="4" borderId="26" xfId="1" applyNumberFormat="1" applyFont="1" applyFill="1" applyBorder="1" applyAlignment="1" applyProtection="1">
      <protection locked="0"/>
    </xf>
    <xf numFmtId="167" fontId="54" fillId="0" borderId="88" xfId="1" applyNumberFormat="1" applyFont="1" applyFill="1" applyBorder="1" applyAlignment="1" applyProtection="1">
      <alignment horizontal="center"/>
    </xf>
    <xf numFmtId="166" fontId="38" fillId="0" borderId="4" xfId="1" applyFont="1" applyBorder="1" applyAlignment="1">
      <alignment horizontal="right"/>
    </xf>
    <xf numFmtId="0" fontId="35" fillId="4" borderId="16" xfId="0" applyFont="1" applyFill="1" applyBorder="1"/>
    <xf numFmtId="166" fontId="35" fillId="0" borderId="16" xfId="1" applyFont="1" applyFill="1" applyBorder="1" applyAlignment="1" applyProtection="1">
      <alignment horizontal="center"/>
      <protection locked="0"/>
    </xf>
    <xf numFmtId="166" fontId="35" fillId="0" borderId="27" xfId="1" applyFont="1" applyFill="1" applyBorder="1" applyAlignment="1" applyProtection="1">
      <alignment horizontal="right"/>
      <protection locked="0"/>
    </xf>
    <xf numFmtId="164" fontId="35" fillId="0" borderId="27" xfId="2" applyFont="1" applyFill="1" applyBorder="1" applyAlignment="1" applyProtection="1">
      <alignment horizontal="right"/>
      <protection locked="0"/>
    </xf>
    <xf numFmtId="166" fontId="35" fillId="0" borderId="16" xfId="1" applyFont="1" applyFill="1" applyBorder="1" applyAlignment="1">
      <alignment horizontal="center"/>
    </xf>
    <xf numFmtId="44" fontId="34" fillId="0" borderId="0" xfId="0" applyNumberFormat="1" applyFont="1"/>
    <xf numFmtId="0" fontId="70" fillId="0" borderId="16" xfId="0" applyFont="1" applyBorder="1"/>
    <xf numFmtId="0" fontId="7" fillId="0" borderId="16" xfId="0" applyFont="1" applyBorder="1"/>
    <xf numFmtId="14" fontId="70" fillId="0" borderId="16" xfId="0" applyNumberFormat="1" applyFont="1" applyBorder="1" applyAlignment="1">
      <alignment horizontal="center"/>
    </xf>
    <xf numFmtId="164" fontId="7" fillId="0" borderId="16" xfId="2" applyFont="1" applyFill="1" applyBorder="1" applyAlignment="1">
      <alignment horizontal="right"/>
    </xf>
    <xf numFmtId="164" fontId="70" fillId="0" borderId="16" xfId="2" applyFont="1" applyFill="1" applyBorder="1"/>
    <xf numFmtId="0" fontId="7" fillId="0" borderId="16" xfId="0" applyFont="1" applyBorder="1" applyAlignment="1">
      <alignment horizontal="left"/>
    </xf>
    <xf numFmtId="14" fontId="7" fillId="0" borderId="16" xfId="0" applyNumberFormat="1" applyFont="1" applyBorder="1" applyAlignment="1">
      <alignment horizontal="center"/>
    </xf>
    <xf numFmtId="164" fontId="7" fillId="0" borderId="16" xfId="2" applyFont="1" applyFill="1" applyBorder="1" applyAlignment="1">
      <alignment horizontal="center"/>
    </xf>
    <xf numFmtId="4" fontId="7" fillId="0" borderId="16" xfId="0" applyNumberFormat="1" applyFont="1" applyBorder="1"/>
    <xf numFmtId="4" fontId="7" fillId="0" borderId="16" xfId="0" applyNumberFormat="1" applyFont="1" applyBorder="1" applyAlignment="1">
      <alignment horizontal="left"/>
    </xf>
    <xf numFmtId="15" fontId="7" fillId="0" borderId="16" xfId="0" applyNumberFormat="1" applyFont="1" applyBorder="1"/>
    <xf numFmtId="170" fontId="70" fillId="0" borderId="16" xfId="0" applyNumberFormat="1" applyFont="1" applyBorder="1" applyAlignment="1">
      <alignment horizontal="center"/>
    </xf>
    <xf numFmtId="0" fontId="70" fillId="0" borderId="38" xfId="0" applyFont="1" applyBorder="1"/>
    <xf numFmtId="4" fontId="7" fillId="0" borderId="38" xfId="0" applyNumberFormat="1" applyFont="1" applyBorder="1"/>
    <xf numFmtId="0" fontId="7" fillId="0" borderId="38" xfId="0" applyFont="1" applyBorder="1"/>
    <xf numFmtId="164" fontId="71" fillId="0" borderId="16" xfId="2" applyFont="1" applyFill="1" applyBorder="1"/>
    <xf numFmtId="164" fontId="38" fillId="0" borderId="25" xfId="2" applyFont="1" applyBorder="1" applyAlignment="1"/>
    <xf numFmtId="164" fontId="38" fillId="0" borderId="25" xfId="2" applyFont="1" applyBorder="1" applyAlignment="1">
      <alignment horizontal="right"/>
    </xf>
    <xf numFmtId="10" fontId="60" fillId="53" borderId="16" xfId="82" applyNumberFormat="1" applyFont="1" applyFill="1" applyBorder="1" applyProtection="1">
      <protection locked="0"/>
    </xf>
    <xf numFmtId="0" fontId="50" fillId="0" borderId="1" xfId="0" applyFont="1" applyBorder="1" applyAlignment="1" applyProtection="1">
      <alignment horizontal="center"/>
      <protection locked="0"/>
    </xf>
    <xf numFmtId="0" fontId="50" fillId="0" borderId="3" xfId="0" applyFont="1" applyBorder="1" applyAlignment="1" applyProtection="1">
      <alignment horizontal="center"/>
      <protection locked="0"/>
    </xf>
    <xf numFmtId="0" fontId="50" fillId="0" borderId="2" xfId="0" applyFont="1" applyBorder="1" applyAlignment="1" applyProtection="1">
      <alignment horizontal="center"/>
      <protection locked="0"/>
    </xf>
    <xf numFmtId="0" fontId="50" fillId="0" borderId="1" xfId="0" applyFont="1" applyBorder="1" applyAlignment="1" applyProtection="1">
      <alignment horizontal="left"/>
      <protection locked="0"/>
    </xf>
    <xf numFmtId="0" fontId="50" fillId="0" borderId="2" xfId="0" applyFont="1" applyBorder="1" applyAlignment="1" applyProtection="1">
      <alignment horizontal="left"/>
      <protection locked="0"/>
    </xf>
    <xf numFmtId="0" fontId="50" fillId="0" borderId="3" xfId="0" applyFont="1" applyBorder="1" applyAlignment="1" applyProtection="1">
      <alignment horizontal="left"/>
      <protection locked="0"/>
    </xf>
    <xf numFmtId="0" fontId="51" fillId="0" borderId="1" xfId="0" applyFont="1" applyBorder="1" applyAlignment="1" applyProtection="1">
      <alignment horizontal="left"/>
      <protection locked="0"/>
    </xf>
    <xf numFmtId="0" fontId="51" fillId="0" borderId="2" xfId="0" applyFont="1" applyBorder="1" applyAlignment="1" applyProtection="1">
      <alignment horizontal="left"/>
      <protection locked="0"/>
    </xf>
    <xf numFmtId="0" fontId="52" fillId="0" borderId="1" xfId="0" applyFont="1" applyBorder="1" applyAlignment="1">
      <alignment horizontal="left"/>
    </xf>
    <xf numFmtId="0" fontId="52" fillId="0" borderId="2" xfId="0" applyFont="1" applyBorder="1" applyAlignment="1">
      <alignment horizontal="left"/>
    </xf>
    <xf numFmtId="0" fontId="51" fillId="0" borderId="1" xfId="0" applyFont="1" applyBorder="1" applyAlignment="1">
      <alignment horizontal="left" vertical="justify"/>
    </xf>
    <xf numFmtId="0" fontId="51" fillId="0" borderId="2" xfId="0" applyFont="1" applyBorder="1" applyAlignment="1">
      <alignment horizontal="left" vertical="justify"/>
    </xf>
    <xf numFmtId="0" fontId="36" fillId="10" borderId="1" xfId="0" applyFont="1" applyFill="1" applyBorder="1" applyAlignment="1">
      <alignment horizontal="center"/>
    </xf>
    <xf numFmtId="0" fontId="36" fillId="10" borderId="2" xfId="0" applyFont="1" applyFill="1" applyBorder="1" applyAlignment="1">
      <alignment horizontal="center"/>
    </xf>
    <xf numFmtId="0" fontId="50" fillId="0" borderId="55" xfId="0" applyFont="1" applyBorder="1" applyAlignment="1" applyProtection="1">
      <alignment horizontal="center"/>
      <protection locked="0"/>
    </xf>
    <xf numFmtId="0" fontId="50" fillId="0" borderId="49" xfId="0" applyFont="1" applyBorder="1" applyAlignment="1" applyProtection="1">
      <alignment horizontal="center"/>
      <protection locked="0"/>
    </xf>
    <xf numFmtId="0" fontId="50" fillId="0" borderId="56" xfId="0" applyFont="1" applyBorder="1" applyAlignment="1" applyProtection="1">
      <alignment horizontal="center"/>
      <protection locked="0"/>
    </xf>
    <xf numFmtId="0" fontId="44" fillId="10" borderId="1" xfId="0" applyFont="1" applyFill="1" applyBorder="1" applyAlignment="1">
      <alignment horizontal="center"/>
    </xf>
    <xf numFmtId="0" fontId="44" fillId="10" borderId="2" xfId="0" applyFont="1" applyFill="1" applyBorder="1" applyAlignment="1">
      <alignment horizontal="center"/>
    </xf>
    <xf numFmtId="0" fontId="59" fillId="0" borderId="1" xfId="0" applyFont="1" applyBorder="1" applyAlignment="1" applyProtection="1">
      <alignment horizontal="center"/>
      <protection locked="0"/>
    </xf>
    <xf numFmtId="0" fontId="59" fillId="0" borderId="3" xfId="0" applyFont="1" applyBorder="1" applyAlignment="1" applyProtection="1">
      <alignment horizontal="center"/>
      <protection locked="0"/>
    </xf>
    <xf numFmtId="0" fontId="59" fillId="0" borderId="2" xfId="0" applyFont="1" applyBorder="1" applyAlignment="1" applyProtection="1">
      <alignment horizontal="center"/>
      <protection locked="0"/>
    </xf>
    <xf numFmtId="0" fontId="59" fillId="0" borderId="55" xfId="0" applyFont="1" applyBorder="1" applyAlignment="1" applyProtection="1">
      <alignment horizontal="center"/>
      <protection locked="0"/>
    </xf>
    <xf numFmtId="0" fontId="59" fillId="0" borderId="49" xfId="0" applyFont="1" applyBorder="1" applyAlignment="1" applyProtection="1">
      <alignment horizontal="center"/>
      <protection locked="0"/>
    </xf>
    <xf numFmtId="0" fontId="59" fillId="0" borderId="1" xfId="0" applyFont="1" applyBorder="1" applyAlignment="1" applyProtection="1">
      <alignment horizontal="left"/>
      <protection locked="0"/>
    </xf>
    <xf numFmtId="0" fontId="59" fillId="0" borderId="2" xfId="0" applyFont="1" applyBorder="1" applyAlignment="1" applyProtection="1">
      <alignment horizontal="left"/>
      <protection locked="0"/>
    </xf>
    <xf numFmtId="0" fontId="42" fillId="0" borderId="1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60" fillId="11" borderId="1" xfId="0" applyFont="1" applyFill="1" applyBorder="1" applyAlignment="1">
      <alignment horizontal="left"/>
    </xf>
    <xf numFmtId="0" fontId="60" fillId="11" borderId="3" xfId="0" applyFont="1" applyFill="1" applyBorder="1" applyAlignment="1">
      <alignment horizontal="left"/>
    </xf>
    <xf numFmtId="0" fontId="60" fillId="11" borderId="2" xfId="0" applyFont="1" applyFill="1" applyBorder="1" applyAlignment="1">
      <alignment horizontal="left"/>
    </xf>
    <xf numFmtId="0" fontId="44" fillId="0" borderId="3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59" fillId="0" borderId="5" xfId="0" applyFont="1" applyBorder="1" applyAlignment="1" applyProtection="1">
      <alignment horizontal="center"/>
      <protection locked="0"/>
    </xf>
    <xf numFmtId="0" fontId="53" fillId="0" borderId="1" xfId="0" applyFont="1" applyBorder="1" applyAlignment="1">
      <alignment horizontal="left"/>
    </xf>
    <xf numFmtId="0" fontId="53" fillId="0" borderId="2" xfId="0" applyFont="1" applyBorder="1" applyAlignment="1">
      <alignment horizontal="left"/>
    </xf>
    <xf numFmtId="0" fontId="52" fillId="0" borderId="3" xfId="0" applyFont="1" applyBorder="1" applyAlignment="1">
      <alignment horizontal="left"/>
    </xf>
    <xf numFmtId="0" fontId="61" fillId="11" borderId="1" xfId="0" applyFont="1" applyFill="1" applyBorder="1" applyAlignment="1">
      <alignment horizontal="left"/>
    </xf>
    <xf numFmtId="0" fontId="61" fillId="11" borderId="3" xfId="0" applyFont="1" applyFill="1" applyBorder="1" applyAlignment="1">
      <alignment horizontal="left"/>
    </xf>
    <xf numFmtId="0" fontId="61" fillId="11" borderId="2" xfId="0" applyFont="1" applyFill="1" applyBorder="1" applyAlignment="1">
      <alignment horizontal="left"/>
    </xf>
    <xf numFmtId="0" fontId="36" fillId="0" borderId="3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50" fillId="0" borderId="5" xfId="0" applyFont="1" applyBorder="1" applyAlignment="1" applyProtection="1">
      <alignment horizontal="center"/>
      <protection locked="0"/>
    </xf>
    <xf numFmtId="0" fontId="52" fillId="14" borderId="1" xfId="0" applyFont="1" applyFill="1" applyBorder="1" applyAlignment="1">
      <alignment horizontal="left"/>
    </xf>
    <xf numFmtId="0" fontId="52" fillId="14" borderId="3" xfId="0" applyFont="1" applyFill="1" applyBorder="1" applyAlignment="1">
      <alignment horizontal="left"/>
    </xf>
    <xf numFmtId="0" fontId="52" fillId="14" borderId="2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14" borderId="1" xfId="0" applyFont="1" applyFill="1" applyBorder="1" applyAlignment="1">
      <alignment horizontal="left"/>
    </xf>
    <xf numFmtId="0" fontId="11" fillId="14" borderId="3" xfId="0" applyFont="1" applyFill="1" applyBorder="1" applyAlignment="1">
      <alignment horizontal="left"/>
    </xf>
    <xf numFmtId="0" fontId="11" fillId="14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38" fillId="15" borderId="47" xfId="0" applyFont="1" applyFill="1" applyBorder="1" applyAlignment="1">
      <alignment horizontal="center"/>
    </xf>
    <xf numFmtId="0" fontId="66" fillId="8" borderId="15" xfId="5" applyFont="1" applyFill="1" applyBorder="1" applyAlignment="1">
      <alignment horizontal="center" vertical="center" wrapText="1"/>
    </xf>
    <xf numFmtId="0" fontId="66" fillId="8" borderId="16" xfId="5" applyFont="1" applyFill="1" applyBorder="1" applyAlignment="1">
      <alignment horizontal="center" vertical="center" wrapText="1"/>
    </xf>
    <xf numFmtId="0" fontId="66" fillId="8" borderId="26" xfId="5" applyFont="1" applyFill="1" applyBorder="1" applyAlignment="1">
      <alignment horizontal="center" vertical="center" wrapText="1"/>
    </xf>
    <xf numFmtId="0" fontId="66" fillId="8" borderId="87" xfId="5" applyFont="1" applyFill="1" applyBorder="1" applyAlignment="1">
      <alignment horizontal="center" vertical="center" wrapText="1"/>
    </xf>
    <xf numFmtId="0" fontId="66" fillId="8" borderId="27" xfId="5" applyFont="1" applyFill="1" applyBorder="1" applyAlignment="1">
      <alignment horizontal="center" vertical="center" wrapText="1"/>
    </xf>
    <xf numFmtId="0" fontId="48" fillId="52" borderId="5" xfId="5" applyFont="1" applyFill="1" applyBorder="1" applyAlignment="1">
      <alignment horizontal="center" vertical="center" wrapText="1"/>
    </xf>
    <xf numFmtId="0" fontId="66" fillId="8" borderId="57" xfId="5" applyFont="1" applyFill="1" applyBorder="1" applyAlignment="1">
      <alignment horizontal="center" vertical="center" wrapText="1"/>
    </xf>
    <xf numFmtId="0" fontId="66" fillId="8" borderId="45" xfId="5" applyFont="1" applyFill="1" applyBorder="1" applyAlignment="1">
      <alignment horizontal="center" vertical="center" wrapText="1"/>
    </xf>
    <xf numFmtId="0" fontId="65" fillId="0" borderId="0" xfId="5" quotePrefix="1" applyFont="1" applyAlignment="1">
      <alignment horizontal="center" vertical="center" wrapText="1"/>
    </xf>
    <xf numFmtId="0" fontId="65" fillId="0" borderId="0" xfId="5" applyFont="1" applyAlignment="1">
      <alignment horizontal="center" vertical="center" wrapText="1"/>
    </xf>
    <xf numFmtId="0" fontId="46" fillId="0" borderId="0" xfId="5" applyFont="1" applyAlignment="1">
      <alignment horizontal="center" vertical="center" wrapText="1"/>
    </xf>
    <xf numFmtId="0" fontId="40" fillId="4" borderId="0" xfId="0" applyFont="1" applyFill="1" applyAlignment="1">
      <alignment horizontal="center"/>
    </xf>
    <xf numFmtId="0" fontId="38" fillId="0" borderId="86" xfId="0" applyFont="1" applyBorder="1" applyAlignment="1">
      <alignment horizontal="center"/>
    </xf>
    <xf numFmtId="0" fontId="38" fillId="0" borderId="0" xfId="0" applyFont="1" applyAlignment="1">
      <alignment horizontal="center" vertical="center"/>
    </xf>
  </cellXfs>
  <cellStyles count="506">
    <cellStyle name="20% - Énfasis1" xfId="25" builtinId="30" customBuiltin="1"/>
    <cellStyle name="20% - Énfasis1 2" xfId="96" xr:uid="{878916ED-C1B1-4DD1-AF13-CFCF636EA638}"/>
    <cellStyle name="20% - Énfasis1 3" xfId="385" xr:uid="{B7471427-5707-444A-9BAD-42A956D293EA}"/>
    <cellStyle name="20% - Énfasis2" xfId="28" builtinId="34" customBuiltin="1"/>
    <cellStyle name="20% - Énfasis2 2" xfId="97" xr:uid="{226AD0C5-B6A3-4CB7-9C49-5992E4C66E78}"/>
    <cellStyle name="20% - Énfasis2 3" xfId="386" xr:uid="{CCD8BEE9-A5F1-40EA-B927-DA40BCF88E12}"/>
    <cellStyle name="20% - Énfasis3" xfId="31" builtinId="38" customBuiltin="1"/>
    <cellStyle name="20% - Énfasis3 2" xfId="98" xr:uid="{6E6D716B-5BC0-4098-9E28-592C38FC1DC5}"/>
    <cellStyle name="20% - Énfasis3 3" xfId="387" xr:uid="{9C1463DA-27ED-4214-A617-4529AEAC7401}"/>
    <cellStyle name="20% - Énfasis4" xfId="34" builtinId="42" customBuiltin="1"/>
    <cellStyle name="20% - Énfasis4 2" xfId="99" xr:uid="{3277A306-CAA9-4C17-9C32-038039927833}"/>
    <cellStyle name="20% - Énfasis4 3" xfId="388" xr:uid="{EA3B052E-BB63-469D-AACF-B6B55F5C4FBB}"/>
    <cellStyle name="20% - Énfasis5" xfId="37" builtinId="46" customBuiltin="1"/>
    <cellStyle name="20% - Énfasis5 2" xfId="100" xr:uid="{A92ECCBB-73A8-4B0D-A3AB-B7466817154F}"/>
    <cellStyle name="20% - Énfasis5 3" xfId="389" xr:uid="{D63EDA14-03A7-41F6-9D3E-AECCA66790F7}"/>
    <cellStyle name="20% - Énfasis6" xfId="40" builtinId="50" customBuiltin="1"/>
    <cellStyle name="20% - Énfasis6 2" xfId="101" xr:uid="{4C1B5FA2-053C-4653-AFDC-12AD59B0C4F6}"/>
    <cellStyle name="20% - Énfasis6 3" xfId="390" xr:uid="{0D34A6C9-BED4-4800-8371-32CC0D135AFE}"/>
    <cellStyle name="40% - Énfasis1" xfId="26" builtinId="31" customBuiltin="1"/>
    <cellStyle name="40% - Énfasis1 2" xfId="102" xr:uid="{8BA82E76-C58B-412F-AACC-0395220E6774}"/>
    <cellStyle name="40% - Énfasis1 3" xfId="391" xr:uid="{FDDCFBB3-054D-4B6E-98F4-91334E88CC5F}"/>
    <cellStyle name="40% - Énfasis2" xfId="29" builtinId="35" customBuiltin="1"/>
    <cellStyle name="40% - Énfasis2 2" xfId="103" xr:uid="{1BBB74F6-FB39-4DE1-86AB-7526413A44EF}"/>
    <cellStyle name="40% - Énfasis2 3" xfId="392" xr:uid="{46DDAE37-69A6-4F14-8110-374F749EC292}"/>
    <cellStyle name="40% - Énfasis3" xfId="32" builtinId="39" customBuiltin="1"/>
    <cellStyle name="40% - Énfasis3 2" xfId="104" xr:uid="{8DAC33EA-28E4-4C18-9F81-121DA5EB0AB1}"/>
    <cellStyle name="40% - Énfasis3 3" xfId="393" xr:uid="{071DA212-9393-49D0-A25F-F87ADB2FC3B5}"/>
    <cellStyle name="40% - Énfasis4" xfId="35" builtinId="43" customBuiltin="1"/>
    <cellStyle name="40% - Énfasis4 2" xfId="105" xr:uid="{F23BDEFE-3D4F-46A0-9DC1-98774ACEB74A}"/>
    <cellStyle name="40% - Énfasis4 3" xfId="394" xr:uid="{3796BFA3-E820-4E28-9161-85F83D8C56A8}"/>
    <cellStyle name="40% - Énfasis5" xfId="38" builtinId="47" customBuiltin="1"/>
    <cellStyle name="40% - Énfasis5 2" xfId="106" xr:uid="{1C43E7E2-9E51-4DF1-90EA-EE532EF967B6}"/>
    <cellStyle name="40% - Énfasis5 3" xfId="395" xr:uid="{3E2407E7-6D75-48F1-9073-8D791A958822}"/>
    <cellStyle name="40% - Énfasis6" xfId="41" builtinId="51" customBuiltin="1"/>
    <cellStyle name="40% - Énfasis6 2" xfId="107" xr:uid="{7629983C-7886-449C-9A7B-A56CE551435C}"/>
    <cellStyle name="40% - Énfasis6 3" xfId="396" xr:uid="{D4F417DA-F052-4FD0-8B72-DACE00BFD4C2}"/>
    <cellStyle name="60% - Énfasis1 2" xfId="67" xr:uid="{00000000-0005-0000-0000-00000C000000}"/>
    <cellStyle name="60% - Énfasis2 2" xfId="68" xr:uid="{00000000-0005-0000-0000-00000D000000}"/>
    <cellStyle name="60% - Énfasis3 2" xfId="69" xr:uid="{00000000-0005-0000-0000-00000E000000}"/>
    <cellStyle name="60% - Énfasis4 2" xfId="70" xr:uid="{00000000-0005-0000-0000-00000F000000}"/>
    <cellStyle name="60% - Énfasis5 2" xfId="71" xr:uid="{00000000-0005-0000-0000-000010000000}"/>
    <cellStyle name="60% - Énfasis6 2" xfId="72" xr:uid="{00000000-0005-0000-0000-000011000000}"/>
    <cellStyle name="Bueno" xfId="14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Comma 2" xfId="301" xr:uid="{575DADF9-883E-4290-B0A3-7BC682653ADA}"/>
    <cellStyle name="Comma 3" xfId="298" xr:uid="{69C961CF-59E8-40AC-B224-8530F19E9965}"/>
    <cellStyle name="Comma 3 2" xfId="383" xr:uid="{A1F91199-55B6-4DD0-A55C-AB7872C785A6}"/>
    <cellStyle name="Currency 2" xfId="299" xr:uid="{D6E1EA15-B2BA-4384-B920-125BF8C77D90}"/>
    <cellStyle name="Encabezado 1" xfId="10" builtinId="16" customBuiltin="1"/>
    <cellStyle name="Encabezado 4" xfId="13" builtinId="19" customBuiltin="1"/>
    <cellStyle name="Énfasis1" xfId="24" builtinId="29" customBuiltin="1"/>
    <cellStyle name="Énfasis2" xfId="27" builtinId="33" customBuiltin="1"/>
    <cellStyle name="Énfasis3" xfId="30" builtinId="37" customBuiltin="1"/>
    <cellStyle name="Énfasis4" xfId="33" builtinId="41" customBuiltin="1"/>
    <cellStyle name="Énfasis5" xfId="36" builtinId="45" customBuiltin="1"/>
    <cellStyle name="Énfasis6" xfId="39" builtinId="49" customBuiltin="1"/>
    <cellStyle name="Entrada" xfId="16" builtinId="20" customBuiltin="1"/>
    <cellStyle name="Euro" xfId="112" xr:uid="{B5D37E9F-B9E0-41D0-936C-A90797E56002}"/>
    <cellStyle name="Euro 2" xfId="110" xr:uid="{260488DA-42B2-4C50-9B63-04018199C0FB}"/>
    <cellStyle name="Incorrecto" xfId="15" builtinId="27" customBuiltin="1"/>
    <cellStyle name="Millares" xfId="1" builtinId="3"/>
    <cellStyle name="Millares [0] 2" xfId="111" xr:uid="{EA69588C-2D0D-4B50-9644-967B27D934BF}"/>
    <cellStyle name="Millares [0] 2 2" xfId="352" xr:uid="{5E197EAB-B41C-44A9-B686-7C87D20C1CA1}"/>
    <cellStyle name="Millares 10" xfId="113" xr:uid="{E2FF7C71-3DBA-45F0-80BE-8C3D972EBF22}"/>
    <cellStyle name="Millares 10 2" xfId="398" xr:uid="{2402001D-40EC-40F4-8899-4E507746B36C}"/>
    <cellStyle name="Millares 11" xfId="161" xr:uid="{DC4D1217-BF00-4E36-B7FA-F11EBC888DCA}"/>
    <cellStyle name="Millares 11 2" xfId="399" xr:uid="{FEB3C15B-7A13-4A3F-8B6E-BBBF2A31B01D}"/>
    <cellStyle name="Millares 12" xfId="351" xr:uid="{1634AB57-F712-45F2-AA98-F68FEF58421D}"/>
    <cellStyle name="Millares 12 2" xfId="400" xr:uid="{AA8878BF-7244-4298-9F9E-091B93BED260}"/>
    <cellStyle name="Millares 13" xfId="64" xr:uid="{00000000-0005-0000-0000-000021000000}"/>
    <cellStyle name="Millares 13 2" xfId="505" xr:uid="{36D7E82A-E739-40B5-988B-802CDFEAEC42}"/>
    <cellStyle name="Millares 13 3" xfId="373" xr:uid="{F6AF2207-BCDE-43E6-B291-42FDE301B9BB}"/>
    <cellStyle name="Millares 14" xfId="361" xr:uid="{FBFBE600-5C30-42E8-A39F-B76318146437}"/>
    <cellStyle name="Millares 15" xfId="374" xr:uid="{D109899E-E8A2-4E98-8BD0-34F431CD9864}"/>
    <cellStyle name="Millares 16" xfId="354" xr:uid="{A16D69FF-64A3-4935-B09D-5C9E6BC3BA22}"/>
    <cellStyle name="Millares 17" xfId="63" xr:uid="{00000000-0005-0000-0000-000022000000}"/>
    <cellStyle name="Millares 17 2" xfId="363" xr:uid="{D7259F8F-73FC-4023-8348-90FBF3D54CF2}"/>
    <cellStyle name="Millares 18" xfId="362" xr:uid="{91A31395-280C-4640-9958-1377C6330408}"/>
    <cellStyle name="Millares 19" xfId="380" xr:uid="{68D9DE30-8F2D-4610-9829-41994DC5F831}"/>
    <cellStyle name="Millares 2" xfId="4" xr:uid="{00000000-0005-0000-0000-000023000000}"/>
    <cellStyle name="Millares 2 10" xfId="115" xr:uid="{3BFE812D-5DBC-46DB-B2EF-4CD5E5B441F5}"/>
    <cellStyle name="Millares 2 10 2" xfId="357" xr:uid="{AFED7DA7-0DC1-41B8-A5C9-11163C20EEED}"/>
    <cellStyle name="Millares 2 11" xfId="116" xr:uid="{955E2F74-816D-42AB-B4CA-74B52851CE5B}"/>
    <cellStyle name="Millares 2 11 2" xfId="109" xr:uid="{3BBB7EDA-6AE2-443B-89EC-4ACF75D8A7CB}"/>
    <cellStyle name="Millares 2 12" xfId="117" xr:uid="{FC088DC4-8C59-4313-B4A1-360FEDF4FA2E}"/>
    <cellStyle name="Millares 2 12 2" xfId="307" xr:uid="{5F69A2DD-00A7-4FA0-ABCE-29D1FB895DF2}"/>
    <cellStyle name="Millares 2 13" xfId="118" xr:uid="{B48B6051-FF24-460B-924B-085D7CC6FDC7}"/>
    <cellStyle name="Millares 2 13 2" xfId="350" xr:uid="{237B2B55-7BA3-4E82-B721-0F5BB0E33FF7}"/>
    <cellStyle name="Millares 2 14" xfId="119" xr:uid="{AF1A1D1C-1CF5-4EF0-A701-44D1F95C4FBD}"/>
    <cellStyle name="Millares 2 14 2" xfId="312" xr:uid="{266EF963-BC71-4E2B-AB59-7D59ACB58E81}"/>
    <cellStyle name="Millares 2 15" xfId="120" xr:uid="{D4F624ED-9677-476C-93B5-229DA87F6E2F}"/>
    <cellStyle name="Millares 2 15 2" xfId="313" xr:uid="{73C06175-1F10-47FC-ABEE-2124AC0BB985}"/>
    <cellStyle name="Millares 2 16" xfId="121" xr:uid="{3B8A955F-3CF3-42E4-A6CB-871C603371C7}"/>
    <cellStyle name="Millares 2 16 2" xfId="359" xr:uid="{F53052E9-4F5D-4E7C-A3F2-DC7AD52B2AA3}"/>
    <cellStyle name="Millares 2 17" xfId="122" xr:uid="{89FCCD6D-D92C-4660-A28D-CD35C96D4FE7}"/>
    <cellStyle name="Millares 2 17 2" xfId="108" xr:uid="{8E370415-612E-4492-AD15-6A7916A53506}"/>
    <cellStyle name="Millares 2 18" xfId="114" xr:uid="{1B54C7F5-14DE-48A8-89BB-1A7EFEAE64F2}"/>
    <cellStyle name="Millares 2 18 2" xfId="358" xr:uid="{01538BEE-2AD9-42CA-9E25-7FA40DFAE0CC}"/>
    <cellStyle name="Millares 2 18 3" xfId="401" xr:uid="{25546637-AD01-478C-A0F7-C907BE4BC44A}"/>
    <cellStyle name="Millares 2 19" xfId="360" xr:uid="{2743D683-A352-400F-8497-8374FB3C5626}"/>
    <cellStyle name="Millares 2 19 2" xfId="402" xr:uid="{07DDBD3A-2F39-451F-B363-590EA04594E6}"/>
    <cellStyle name="Millares 2 2" xfId="77" xr:uid="{00000000-0005-0000-0000-000024000000}"/>
    <cellStyle name="Millares 2 2 10" xfId="124" xr:uid="{4FF04793-5200-4167-8A67-DEC9CE497F15}"/>
    <cellStyle name="Millares 2 2 11" xfId="125" xr:uid="{EF532B2E-267F-4ABB-B913-8121F52308FE}"/>
    <cellStyle name="Millares 2 2 12" xfId="126" xr:uid="{A5E0D5B0-730D-4266-B6FE-B75C743228C5}"/>
    <cellStyle name="Millares 2 2 13" xfId="127" xr:uid="{2B0F8145-45F2-4631-B74A-0E938F676F51}"/>
    <cellStyle name="Millares 2 2 14" xfId="128" xr:uid="{3C28126B-C7F2-4035-870B-1AF3F8CD8BB6}"/>
    <cellStyle name="Millares 2 2 15" xfId="129" xr:uid="{B180F1C7-068C-4186-865A-2DDB84F81708}"/>
    <cellStyle name="Millares 2 2 16" xfId="130" xr:uid="{773BC868-6E94-490E-85A0-76BF04775FD2}"/>
    <cellStyle name="Millares 2 2 17" xfId="131" xr:uid="{9250CA56-EF32-43BD-9357-92BE973A55E6}"/>
    <cellStyle name="Millares 2 2 18" xfId="314" xr:uid="{F636E937-FB74-4063-868D-98F735337771}"/>
    <cellStyle name="Millares 2 2 19" xfId="123" xr:uid="{C03B6A80-87B3-44FD-A700-7AC8FF5EB1D5}"/>
    <cellStyle name="Millares 2 2 2" xfId="132" xr:uid="{C376D9C8-37F1-4F48-8817-AE2A611E16CE}"/>
    <cellStyle name="Millares 2 2 3" xfId="133" xr:uid="{39506EEE-0902-416A-9033-A638339ADE12}"/>
    <cellStyle name="Millares 2 2 4" xfId="134" xr:uid="{9E560F53-FA76-46A5-8EDD-6B9DEA835B0D}"/>
    <cellStyle name="Millares 2 2 5" xfId="135" xr:uid="{B337EB64-C859-4BBC-A140-04E313541A12}"/>
    <cellStyle name="Millares 2 2 6" xfId="136" xr:uid="{12FB7730-9C80-4A7C-A7BD-95E2DB28BCC3}"/>
    <cellStyle name="Millares 2 2 7" xfId="137" xr:uid="{5F7B9ED0-DC08-4568-A017-8A6A38A40486}"/>
    <cellStyle name="Millares 2 2 8" xfId="138" xr:uid="{012CF471-0C4A-4CEA-92DE-638A9A61514F}"/>
    <cellStyle name="Millares 2 2 9" xfId="139" xr:uid="{C8006A6A-18D5-403C-86C9-A56667293E84}"/>
    <cellStyle name="Millares 2 20" xfId="86" xr:uid="{226B7C21-16F2-419D-8872-87071AD5671D}"/>
    <cellStyle name="Millares 2 3" xfId="44" xr:uid="{00000000-0005-0000-0000-000025000000}"/>
    <cellStyle name="Millares 2 3 2" xfId="310" xr:uid="{8B13B19C-E0CE-472B-9FBE-DDD18ECD0E74}"/>
    <cellStyle name="Millares 2 3 3" xfId="372" xr:uid="{07F84E10-D5C3-4336-BE55-E343EF303E24}"/>
    <cellStyle name="Millares 2 3 3 2" xfId="504" xr:uid="{2BC90372-9486-4BCC-80A0-A932BAF98C67}"/>
    <cellStyle name="Millares 2 3 4" xfId="140" xr:uid="{E83CCB5A-64E6-49B2-BABE-A1F3EC2F3C1F}"/>
    <cellStyle name="Millares 2 4" xfId="141" xr:uid="{3028818C-BFFA-4BB3-8E71-62FB71F5DC6D}"/>
    <cellStyle name="Millares 2 4 2" xfId="353" xr:uid="{AC18BD4B-6ED2-4B10-B5B0-C95E8D71E79F}"/>
    <cellStyle name="Millares 2 5" xfId="142" xr:uid="{C1123CA5-949B-40B8-8529-C499C88414A1}"/>
    <cellStyle name="Millares 2 5 2" xfId="349" xr:uid="{E8922D87-9EEB-4FE1-A9FB-67C7A9CB2E0E}"/>
    <cellStyle name="Millares 2 6" xfId="143" xr:uid="{B40226F2-F39E-4E43-ACE4-0A4712F68CFC}"/>
    <cellStyle name="Millares 2 6 2" xfId="348" xr:uid="{D35758FF-07CA-4AA2-9F53-0DBD6296C5C4}"/>
    <cellStyle name="Millares 2 7" xfId="144" xr:uid="{EC780C09-4361-4559-8291-E2A7279904F1}"/>
    <cellStyle name="Millares 2 7 2" xfId="347" xr:uid="{94270FEE-35FA-44B1-8B50-D7A938A792CE}"/>
    <cellStyle name="Millares 2 8" xfId="145" xr:uid="{62BFC5F5-0D04-4326-B7DB-A5B6B956627C}"/>
    <cellStyle name="Millares 2 8 2" xfId="346" xr:uid="{DF81AD53-135A-4373-8A31-3F074444CCE4}"/>
    <cellStyle name="Millares 2 9" xfId="146" xr:uid="{F337C788-89D2-403F-91E7-D35C59FA5890}"/>
    <cellStyle name="Millares 2 9 2" xfId="345" xr:uid="{E97CF5F1-F096-4B26-93D5-B12EF3CDADD0}"/>
    <cellStyle name="Millares 20" xfId="397" xr:uid="{847FBD15-ACA6-4FA5-A1E6-11FAE4849BB7}"/>
    <cellStyle name="Millares 21" xfId="441" xr:uid="{3E810E0A-F4EE-4A21-AD8A-4233D8AA88CE}"/>
    <cellStyle name="Millares 3" xfId="45" xr:uid="{00000000-0005-0000-0000-000026000000}"/>
    <cellStyle name="Millares 3 2" xfId="148" xr:uid="{55CE70DD-64A4-4625-907A-5A6D89896ABC}"/>
    <cellStyle name="Millares 3 2 2" xfId="343" xr:uid="{4659BA7B-6409-48E3-BFDC-7AD57F494DDE}"/>
    <cellStyle name="Millares 3 2 3" xfId="342" xr:uid="{CE1EE9B7-7358-4FDD-8E4A-8167A26BF4CE}"/>
    <cellStyle name="Millares 3 2 4" xfId="341" xr:uid="{BEC3FB50-1DCA-4C04-9AF8-DD62EF3F0A1B}"/>
    <cellStyle name="Millares 3 2 5" xfId="344" xr:uid="{64E48A3B-FBD8-471A-9D67-E4274737D5C2}"/>
    <cellStyle name="Millares 3 3" xfId="85" xr:uid="{7C79922D-AECC-4DDC-98BF-9623446BBCA6}"/>
    <cellStyle name="Millares 3 3 2" xfId="302" xr:uid="{D339B902-766C-4DD3-8876-08E4FA9253E2}"/>
    <cellStyle name="Millares 3 3 2 2" xfId="502" xr:uid="{C76FF148-029C-4808-8E14-E57370A85D92}"/>
    <cellStyle name="Millares 3 3 3" xfId="340" xr:uid="{4EB7AA94-0835-42BE-B05E-8FCAF535BD8A}"/>
    <cellStyle name="Millares 3 3 4" xfId="375" xr:uid="{FE8E72F2-673F-4C3E-8326-A2C0F7C3BD51}"/>
    <cellStyle name="Millares 3 4" xfId="80" xr:uid="{00000000-0005-0000-0000-000027000000}"/>
    <cellStyle name="Millares 3 4 2" xfId="81" xr:uid="{00000000-0005-0000-0000-000028000000}"/>
    <cellStyle name="Millares 3 4 2 2" xfId="498" xr:uid="{1519E234-15AE-4661-A5DF-36B8C518061A}"/>
    <cellStyle name="Millares 3 4 2 3" xfId="306" xr:uid="{32956C5C-1436-4E8F-A82A-2E8E843BC4D7}"/>
    <cellStyle name="Millares 3 4 3" xfId="339" xr:uid="{4B37A916-F7C7-4D3A-8BB1-B2B8E95892A0}"/>
    <cellStyle name="Millares 3 4 4" xfId="304" xr:uid="{DFA88F1F-2463-419A-923C-CE8BA2570620}"/>
    <cellStyle name="Millares 3 5" xfId="147" xr:uid="{374EED97-A5B3-4453-AE04-A0FA0CAB6C0C}"/>
    <cellStyle name="Millares 3 6" xfId="403" xr:uid="{04D48FCB-4D3C-4940-B736-94B27F36241C}"/>
    <cellStyle name="Millares 3 7" xfId="87" xr:uid="{CBCE2949-DB95-4829-8774-022369BCBBF2}"/>
    <cellStyle name="Millares 4" xfId="53" xr:uid="{00000000-0005-0000-0000-000029000000}"/>
    <cellStyle name="Millares 4 10" xfId="338" xr:uid="{5DF24B19-D1AF-4C62-9F9A-953DE551EB71}"/>
    <cellStyle name="Millares 4 11" xfId="376" xr:uid="{390B2F06-96C8-469E-856A-2E44660B34A3}"/>
    <cellStyle name="Millares 4 12" xfId="88" xr:uid="{DA7675F8-2FE7-429E-A0DA-D97036FD1C89}"/>
    <cellStyle name="Millares 4 2" xfId="150" xr:uid="{D2CAA8EC-5F43-4E66-8832-28E39C000F79}"/>
    <cellStyle name="Millares 4 2 2" xfId="337" xr:uid="{59C3E973-113D-405F-A94A-4CB7BF12E4EE}"/>
    <cellStyle name="Millares 4 3" xfId="151" xr:uid="{FE4B3F44-8EC4-4A9B-B0BB-F08D901CA565}"/>
    <cellStyle name="Millares 4 3 2" xfId="336" xr:uid="{436DCE16-F9F2-44D7-95FE-88B65E18AC7F}"/>
    <cellStyle name="Millares 4 4" xfId="152" xr:uid="{59E4F409-EF3F-49A6-8087-90EC28A0D7E3}"/>
    <cellStyle name="Millares 4 4 2" xfId="335" xr:uid="{18BFA39B-A2EF-4CDB-97BA-444B13C06A20}"/>
    <cellStyle name="Millares 4 5" xfId="153" xr:uid="{A364220D-C260-4DD9-B362-6AC09ACC5A97}"/>
    <cellStyle name="Millares 4 5 2" xfId="334" xr:uid="{95BE7C8E-B6A2-448C-A3CC-DF4FFB7D9B13}"/>
    <cellStyle name="Millares 4 6" xfId="154" xr:uid="{70156999-C853-4227-8B4D-543CF9C516AC}"/>
    <cellStyle name="Millares 4 6 2" xfId="333" xr:uid="{2F288450-B4E7-45E6-8F35-9CE999906781}"/>
    <cellStyle name="Millares 4 7" xfId="155" xr:uid="{266B5E5E-DB48-42B3-A5A8-BF3ECD96793E}"/>
    <cellStyle name="Millares 4 7 2" xfId="332" xr:uid="{6CC5FA10-DBDD-47B4-B8C9-014AE8C3F3E8}"/>
    <cellStyle name="Millares 4 8" xfId="149" xr:uid="{110D83C6-32B1-4BF2-9396-3AD42E147406}"/>
    <cellStyle name="Millares 4 8 2" xfId="331" xr:uid="{29D1A7F6-7EB9-45A4-B32E-5A0A2EB9CC5B}"/>
    <cellStyle name="Millares 4 9" xfId="330" xr:uid="{5A9F1549-DE77-4759-9967-2CA2AF24AC0E}"/>
    <cellStyle name="Millares 4 9 2" xfId="404" xr:uid="{66755AC0-A9C3-4154-B760-4875B781A28F}"/>
    <cellStyle name="Millares 5" xfId="74" xr:uid="{00000000-0005-0000-0000-00002A000000}"/>
    <cellStyle name="Millares 5 2" xfId="156" xr:uid="{8F3BC51D-4649-4B86-9F9B-EB9ED92C3F95}"/>
    <cellStyle name="Millares 5 2 2" xfId="328" xr:uid="{039AB3B8-7DB2-4254-A1B4-AB0E0097AC59}"/>
    <cellStyle name="Millares 5 2 3" xfId="406" xr:uid="{0762AD0B-0BE2-4F00-8254-D93EE366F696}"/>
    <cellStyle name="Millares 5 3" xfId="327" xr:uid="{5053616A-9DDF-4750-A263-7CE1D1A50881}"/>
    <cellStyle name="Millares 5 4" xfId="329" xr:uid="{B841FD03-E6BF-4801-A28F-418072D47E6D}"/>
    <cellStyle name="Millares 5 5" xfId="378" xr:uid="{B12FC444-8BE6-4808-BD11-F1F5E0764197}"/>
    <cellStyle name="Millares 5 6" xfId="405" xr:uid="{9F77EF2F-F7E0-4B04-AE96-889BAB29FB7D}"/>
    <cellStyle name="Millares 5 7" xfId="93" xr:uid="{33AF5923-7DA6-4859-B57A-DBB3893D8D43}"/>
    <cellStyle name="Millares 6" xfId="79" xr:uid="{00000000-0005-0000-0000-00002B000000}"/>
    <cellStyle name="Millares 6 2" xfId="325" xr:uid="{D8D7C24B-2906-4206-8EE7-14C57D0AC5A6}"/>
    <cellStyle name="Millares 6 2 2" xfId="408" xr:uid="{E27D167A-35B3-4BBA-8AF9-E4D470B611E2}"/>
    <cellStyle name="Millares 6 3" xfId="326" xr:uid="{8333B576-DE29-4A07-AB33-B3442809FF53}"/>
    <cellStyle name="Millares 6 4" xfId="407" xr:uid="{506B2E42-74D4-46AB-97B3-E19E04235342}"/>
    <cellStyle name="Millares 6 5" xfId="157" xr:uid="{D7112BC1-B3B9-46BE-AB1B-68F92199AD7C}"/>
    <cellStyle name="Millares 7" xfId="43" xr:uid="{00000000-0005-0000-0000-00002C000000}"/>
    <cellStyle name="Millares 7 2" xfId="324" xr:uid="{D28ADD73-0A78-43AF-BDA6-CB7783DCF5E4}"/>
    <cellStyle name="Millares 7 2 2" xfId="410" xr:uid="{E2CCF8E6-9C3B-4973-8B08-BABA4DDD6094}"/>
    <cellStyle name="Millares 7 3" xfId="323" xr:uid="{035FF441-28E1-411A-80FD-CFC891DABD12}"/>
    <cellStyle name="Millares 7 3 2" xfId="411" xr:uid="{81231B44-D6D6-41BD-87EC-BB2648408CD9}"/>
    <cellStyle name="Millares 7 4" xfId="409" xr:uid="{625D1387-9529-4107-A1A7-0209BCD09FBC}"/>
    <cellStyle name="Millares 7 5" xfId="158" xr:uid="{2DE4B72E-F587-4C93-898B-FD378A75DB34}"/>
    <cellStyle name="Millares 8" xfId="8" xr:uid="{00000000-0005-0000-0000-00002D000000}"/>
    <cellStyle name="Millares 8 2" xfId="321" xr:uid="{E1DE04A7-4D48-40A6-9167-C6D090DA9BD5}"/>
    <cellStyle name="Millares 8 2 2" xfId="413" xr:uid="{87693F37-4393-448F-810B-7D79556781C4}"/>
    <cellStyle name="Millares 8 3" xfId="322" xr:uid="{B62CF337-1646-484E-BBB0-081929ABBADB}"/>
    <cellStyle name="Millares 8 4" xfId="412" xr:uid="{5DAECDF7-5088-4F7D-84B9-1B4560F6F122}"/>
    <cellStyle name="Millares 9" xfId="297" xr:uid="{7756EBC5-CB85-4913-B828-C2C68C891FDB}"/>
    <cellStyle name="Millares 9 2" xfId="364" xr:uid="{C4B3B8F0-EDC8-4AD7-8FA5-16ED2565DEB0}"/>
    <cellStyle name="Millares 9 2 2" xfId="496" xr:uid="{0CC4173E-C64B-4121-BC5F-90CBFF26D24F}"/>
    <cellStyle name="Millares 9 3" xfId="369" xr:uid="{9D538E2E-416E-4151-9999-4EB5E8C379D4}"/>
    <cellStyle name="Millares 9 3 2" xfId="500" xr:uid="{DCAC6778-85F6-44FF-84D2-220BA5F57137}"/>
    <cellStyle name="Millares 9 4" xfId="371" xr:uid="{F47D8881-72A0-4486-8C03-513E5D33EEFA}"/>
    <cellStyle name="Millares 9 4 2" xfId="503" xr:uid="{A2F5E581-0637-4208-9C6D-C116C730D9EC}"/>
    <cellStyle name="Millares 9 5" xfId="320" xr:uid="{0870AD60-70F8-4AB9-A981-889CEAD4BDEC}"/>
    <cellStyle name="Millares 9 6" xfId="414" xr:uid="{258DA9CC-2532-44CD-B814-38F1C5CE523D}"/>
    <cellStyle name="Moneda" xfId="2" builtinId="4"/>
    <cellStyle name="Moneda 2" xfId="52" xr:uid="{00000000-0005-0000-0000-00002F000000}"/>
    <cellStyle name="Moneda 2 2" xfId="91" xr:uid="{FB76EBBF-2A5F-4EA8-BBC8-5B98BFAE842A}"/>
    <cellStyle name="Moneda 2 2 2" xfId="365" xr:uid="{7BC76156-9153-4EAD-86C3-A6ECD9DF69EE}"/>
    <cellStyle name="Moneda 2 2 3" xfId="497" xr:uid="{4D6513EC-D4E7-4121-94ED-37E93B765667}"/>
    <cellStyle name="Moneda 2 3" xfId="370" xr:uid="{93D58D86-90A8-4E0A-AD52-696EAEAB5EE9}"/>
    <cellStyle name="Moneda 2 3 2" xfId="501" xr:uid="{E67522D9-35E6-4665-9C26-10160ADDDD31}"/>
    <cellStyle name="Moneda 2 4" xfId="377" xr:uid="{052C5DDC-4788-49D2-9206-B7CCF31DC562}"/>
    <cellStyle name="Moneda 2 5" xfId="89" xr:uid="{72A78783-EA42-470C-A248-AFF439969872}"/>
    <cellStyle name="Moneda 3" xfId="65" xr:uid="{00000000-0005-0000-0000-000030000000}"/>
    <cellStyle name="Moneda 3 2" xfId="160" xr:uid="{848AF73C-69BA-46FF-BCF0-61BCF2151BD0}"/>
    <cellStyle name="Moneda 3 2 2" xfId="318" xr:uid="{75A69083-C809-4791-AA7F-41461005597B}"/>
    <cellStyle name="Moneda 3 2 3" xfId="417" xr:uid="{85CD00F9-7CF3-4D0E-A2DD-1A08D91C5D34}"/>
    <cellStyle name="Moneda 3 3" xfId="366" xr:uid="{663C6660-021F-4E61-814E-8622A69C3CDC}"/>
    <cellStyle name="Moneda 3 4" xfId="319" xr:uid="{0A7D6B48-BF54-4ECB-B56B-2AD958ACCE09}"/>
    <cellStyle name="Moneda 3 5" xfId="416" xr:uid="{008C9BEE-56DC-454C-8FD8-F6F5744E1F81}"/>
    <cellStyle name="Moneda 3 6" xfId="90" xr:uid="{842A0A1A-D20B-4887-A5F3-E9A6F16A7ABB}"/>
    <cellStyle name="Moneda 4" xfId="76" xr:uid="{00000000-0005-0000-0000-000031000000}"/>
    <cellStyle name="Moneda 4 2" xfId="367" xr:uid="{3650E9D2-4376-4E66-91AA-E63F2F3C007B}"/>
    <cellStyle name="Moneda 4 3" xfId="368" xr:uid="{40D74E47-A992-43F3-AE99-C813BCA695A7}"/>
    <cellStyle name="Moneda 4 3 2" xfId="499" xr:uid="{7A0EDF12-C22F-480A-85EC-0215801D94EA}"/>
    <cellStyle name="Moneda 4 4" xfId="317" xr:uid="{3D336E3E-1879-41D7-94D1-9267382998D2}"/>
    <cellStyle name="Moneda 4 5" xfId="418" xr:uid="{83E9407C-DCB0-466D-992A-E64A066407EA}"/>
    <cellStyle name="Moneda 4 6" xfId="305" xr:uid="{8D25C952-7434-4EC6-BBB7-038934299883}"/>
    <cellStyle name="Moneda 5" xfId="46" xr:uid="{00000000-0005-0000-0000-000032000000}"/>
    <cellStyle name="Moneda 5 2" xfId="419" xr:uid="{18CC7A82-2E24-4B6C-9279-D39922FB2F11}"/>
    <cellStyle name="Moneda 5 3" xfId="159" xr:uid="{3DF42CEB-DCF2-401A-9152-98508A06A592}"/>
    <cellStyle name="Moneda 6" xfId="316" xr:uid="{AD4F5FEF-EF97-44FF-A02F-05A0613F0105}"/>
    <cellStyle name="Moneda 6 2" xfId="420" xr:uid="{027466BC-FBBA-4DF1-A183-F01F72CFFFED}"/>
    <cellStyle name="Moneda 7" xfId="381" xr:uid="{F62370C2-AFEC-46EC-B7BA-DFEFAC98E46E}"/>
    <cellStyle name="Moneda 8" xfId="415" xr:uid="{56018101-B691-4EC5-883A-6A1FC5B6372C}"/>
    <cellStyle name="Moneda 9" xfId="83" xr:uid="{F9EB482B-F63B-4725-8674-EFEBC344B102}"/>
    <cellStyle name="Neutral 2" xfId="66" xr:uid="{00000000-0005-0000-0000-000033000000}"/>
    <cellStyle name="Normal" xfId="0" builtinId="0"/>
    <cellStyle name="Normal 10" xfId="56" xr:uid="{00000000-0005-0000-0000-000035000000}"/>
    <cellStyle name="Normal 10 2" xfId="162" xr:uid="{3E9824CC-11C9-44A9-94F8-23BCEE9A43F7}"/>
    <cellStyle name="Normal 10 3" xfId="163" xr:uid="{CCAC8E48-7C2B-4282-841D-4D38A4D90833}"/>
    <cellStyle name="Normal 10 4" xfId="164" xr:uid="{C37354D2-E5E4-4C54-B3A9-51800BE2B8CE}"/>
    <cellStyle name="Normal 10 5" xfId="165" xr:uid="{C9697508-FC98-414B-A063-5161B52E3DD3}"/>
    <cellStyle name="Normal 10 6" xfId="166" xr:uid="{5BACC44E-E674-477F-A556-67E7753386DA}"/>
    <cellStyle name="Normal 10 7" xfId="167" xr:uid="{1C3A6699-478B-495B-B575-E895FE88E5FD}"/>
    <cellStyle name="Normal 10 8" xfId="168" xr:uid="{C0E5BA8E-FAED-4909-9276-E207DC63021C}"/>
    <cellStyle name="Normal 11" xfId="57" xr:uid="{00000000-0005-0000-0000-000036000000}"/>
    <cellStyle name="Normal 11 2" xfId="169" xr:uid="{2371573A-13DA-434E-A1BB-C6D60E2C854F}"/>
    <cellStyle name="Normal 11 2 2" xfId="170" xr:uid="{032DBB12-4FA5-445A-898F-17AB32485BA1}"/>
    <cellStyle name="Normal 11 3" xfId="171" xr:uid="{D3AB40A3-EF48-4FC9-A33D-61932360B206}"/>
    <cellStyle name="Normal 11 4" xfId="172" xr:uid="{EC71516E-236F-4AE1-8582-349C99F98A1E}"/>
    <cellStyle name="Normal 11 5" xfId="173" xr:uid="{0D3C94CF-2C59-4612-B403-822E33B26208}"/>
    <cellStyle name="Normal 11 6" xfId="174" xr:uid="{BD27F3F7-4805-4184-91A1-869FBFFAD730}"/>
    <cellStyle name="Normal 11 7" xfId="175" xr:uid="{4EBBB534-4F86-452D-A05A-DDA9AE518D98}"/>
    <cellStyle name="Normal 11 8" xfId="176" xr:uid="{F1D44FE2-6B9E-4AB6-B6DF-0E81995B19AE}"/>
    <cellStyle name="Normal 12" xfId="58" xr:uid="{00000000-0005-0000-0000-000037000000}"/>
    <cellStyle name="Normal 12 2" xfId="177" xr:uid="{76064F26-232C-4E27-9175-91222BAA7C91}"/>
    <cellStyle name="Normal 12 2 2" xfId="421" xr:uid="{D177D517-D8F9-48E9-B3BF-64615609EBF9}"/>
    <cellStyle name="Normal 12 3" xfId="178" xr:uid="{184B2B16-85B3-4AD3-B6E1-C1314BF598EE}"/>
    <cellStyle name="Normal 12 3 2" xfId="422" xr:uid="{C553270B-AA1E-494F-9F48-D35102D976DC}"/>
    <cellStyle name="Normal 12 4" xfId="179" xr:uid="{95FB70D4-6206-4AE7-8232-C4F73065118C}"/>
    <cellStyle name="Normal 12 4 2" xfId="423" xr:uid="{187F635B-5DEE-417A-8AF3-57764622D2A5}"/>
    <cellStyle name="Normal 12 5" xfId="180" xr:uid="{C660AA1E-1C5A-4533-BABD-48183064908C}"/>
    <cellStyle name="Normal 12 5 2" xfId="424" xr:uid="{5EA37FBA-51DF-4FEA-BA47-4A48EA9AED48}"/>
    <cellStyle name="Normal 12 6" xfId="181" xr:uid="{D129BA86-E752-4D7A-925B-624F51810FE2}"/>
    <cellStyle name="Normal 12 6 2" xfId="425" xr:uid="{3FAE4524-ACC7-48C0-9826-F8B5B75B35EE}"/>
    <cellStyle name="Normal 12 7" xfId="182" xr:uid="{654463B1-2107-4AC9-A4E3-9CED1865D500}"/>
    <cellStyle name="Normal 12 7 2" xfId="426" xr:uid="{18DD0647-9AD2-4176-83BD-1CC63F12317E}"/>
    <cellStyle name="Normal 13" xfId="59" xr:uid="{00000000-0005-0000-0000-000038000000}"/>
    <cellStyle name="Normal 13 2" xfId="184" xr:uid="{338E83B1-577E-4BAF-B63E-7ABD2D93461C}"/>
    <cellStyle name="Normal 13 2 2" xfId="185" xr:uid="{628DF6A9-A78F-4FDC-8F1C-57AEF40399B9}"/>
    <cellStyle name="Normal 13 2 2 2" xfId="429" xr:uid="{4B11FEF7-4785-4DBF-A849-E9FDAE9BCE16}"/>
    <cellStyle name="Normal 13 2 3" xfId="428" xr:uid="{AB2A8097-FC1A-4712-91C6-A9071C5195A9}"/>
    <cellStyle name="Normal 13 3" xfId="186" xr:uid="{9DA22054-2EBB-495A-B26F-7A967D5911AB}"/>
    <cellStyle name="Normal 13 3 2" xfId="430" xr:uid="{F134B73C-18C7-4173-B8CC-93FC7D077EBA}"/>
    <cellStyle name="Normal 13 4" xfId="187" xr:uid="{446311F2-44BC-4AD0-BAD1-CB3A73D59012}"/>
    <cellStyle name="Normal 13 4 2" xfId="431" xr:uid="{1569D53B-89D0-48C1-8A94-A1AA4C8319D6}"/>
    <cellStyle name="Normal 13 5" xfId="427" xr:uid="{415EB466-521B-43ED-AAB8-58CA5C4F5568}"/>
    <cellStyle name="Normal 13 6" xfId="183" xr:uid="{19E23EEB-6DF5-421F-A261-E66B8B9E4119}"/>
    <cellStyle name="Normal 14" xfId="60" xr:uid="{00000000-0005-0000-0000-000039000000}"/>
    <cellStyle name="Normal 14 2" xfId="189" xr:uid="{BDDACB64-BB20-4245-88EE-62569AB2098E}"/>
    <cellStyle name="Normal 14 3" xfId="190" xr:uid="{9E4873C1-D5BB-4232-B935-4FCBE5E65AF6}"/>
    <cellStyle name="Normal 14 4" xfId="191" xr:uid="{7EE8FD65-61F7-4C28-AAC4-FC257B75EAF5}"/>
    <cellStyle name="Normal 14 5" xfId="192" xr:uid="{670CF8D4-B532-460A-94F0-9E875D2833ED}"/>
    <cellStyle name="Normal 14 6" xfId="193" xr:uid="{767C44AD-9FE7-4313-9563-D14319091A6A}"/>
    <cellStyle name="Normal 14 7" xfId="194" xr:uid="{DB27F5A1-436B-4E74-93FA-2663477E083D}"/>
    <cellStyle name="Normal 14 8" xfId="188" xr:uid="{55DB64AD-2C81-440D-B970-CE824C1FB8A2}"/>
    <cellStyle name="Normal 15" xfId="61" xr:uid="{00000000-0005-0000-0000-00003A000000}"/>
    <cellStyle name="Normal 16" xfId="62" xr:uid="{00000000-0005-0000-0000-00003B000000}"/>
    <cellStyle name="Normal 16 2" xfId="196" xr:uid="{654F4691-8BC3-4517-9B61-82432E4EED4A}"/>
    <cellStyle name="Normal 16 2 2" xfId="197" xr:uid="{56DB1351-0429-4E84-9D95-7486C586A488}"/>
    <cellStyle name="Normal 16 2 2 2" xfId="434" xr:uid="{CF5BFAB6-3D8F-4C02-82FC-5A3D23A89C48}"/>
    <cellStyle name="Normal 16 2 3" xfId="433" xr:uid="{6F9F92FE-1703-44BD-ABD7-857D0EB508A2}"/>
    <cellStyle name="Normal 16 3" xfId="198" xr:uid="{DC051889-3E43-40F7-96E3-36FFF3D76A59}"/>
    <cellStyle name="Normal 16 3 2" xfId="435" xr:uid="{5F85D7E6-065F-4344-A12C-304F173276AF}"/>
    <cellStyle name="Normal 16 4" xfId="199" xr:uid="{9350848B-0EDA-4C26-A729-622652D3AA9E}"/>
    <cellStyle name="Normal 16 5" xfId="432" xr:uid="{65B7C6FB-B652-40D4-A10C-E1978FF42A83}"/>
    <cellStyle name="Normal 16 6" xfId="195" xr:uid="{A1FAE492-E0FE-462B-A22E-0270904A548E}"/>
    <cellStyle name="Normal 17" xfId="200" xr:uid="{D3B6A5B7-FF5E-482D-A84A-7B496C82353D}"/>
    <cellStyle name="Normal 17 2" xfId="201" xr:uid="{6CEBFB39-11E7-4F29-BDB0-225D4B8687BF}"/>
    <cellStyle name="Normal 17 2 2" xfId="202" xr:uid="{629BC394-4C3B-4296-8C0C-D649176AEAFB}"/>
    <cellStyle name="Normal 17 2 2 2" xfId="438" xr:uid="{05545B2B-0C89-491B-A989-16BA338C4DF8}"/>
    <cellStyle name="Normal 17 2 3" xfId="437" xr:uid="{FB910522-683E-4640-9041-EAB8736E9547}"/>
    <cellStyle name="Normal 17 3" xfId="203" xr:uid="{7C221A93-0B6C-4974-9B31-6CA16B1235F1}"/>
    <cellStyle name="Normal 17 3 2" xfId="439" xr:uid="{B1FF9078-2A35-4F1D-8651-3297D3CF3E95}"/>
    <cellStyle name="Normal 17 4" xfId="204" xr:uid="{B60053F7-8966-479F-B99A-0921201C33FD}"/>
    <cellStyle name="Normal 17 5" xfId="436" xr:uid="{71D53C8B-CD4C-4C1A-8E3A-5129179215BB}"/>
    <cellStyle name="Normal 18" xfId="205" xr:uid="{104B52DA-2C86-4759-8F48-74A5BCF6D4F7}"/>
    <cellStyle name="Normal 19" xfId="206" xr:uid="{178AA89D-E625-46A8-90B5-A5B7C3413A16}"/>
    <cellStyle name="Normal 2" xfId="5" xr:uid="{00000000-0005-0000-0000-00003C000000}"/>
    <cellStyle name="Normal 2 10" xfId="207" xr:uid="{739AB9EF-29C5-48A3-BA9C-E41AF5D8A94F}"/>
    <cellStyle name="Normal 2 11" xfId="208" xr:uid="{2980ED73-78E9-420E-9329-A32A83DBCBA1}"/>
    <cellStyle name="Normal 2 12" xfId="209" xr:uid="{7D8EEE53-CFA1-4C54-97DD-7BB2E7E22045}"/>
    <cellStyle name="Normal 2 13" xfId="210" xr:uid="{0C28A6C6-CEBC-46EC-BBD2-23BCD208CD90}"/>
    <cellStyle name="Normal 2 14" xfId="211" xr:uid="{7DD39148-B4D6-4D49-B555-1B2E3340A8AD}"/>
    <cellStyle name="Normal 2 15" xfId="212" xr:uid="{808E5511-D201-49B2-B23E-7EF86544DA98}"/>
    <cellStyle name="Normal 2 16" xfId="213" xr:uid="{C5279A05-8062-4AB3-A199-5D461CF41EDF}"/>
    <cellStyle name="Normal 2 17" xfId="214" xr:uid="{68477761-1553-4F68-953F-5BD710CE76FF}"/>
    <cellStyle name="Normal 2 18" xfId="215" xr:uid="{89C41CB0-5074-41E8-9567-E5BEA3E95CA2}"/>
    <cellStyle name="Normal 2 19" xfId="216" xr:uid="{EFB44ACC-1A66-4197-81E8-EEC3619B7637}"/>
    <cellStyle name="Normal 2 19 2" xfId="311" xr:uid="{18CB3BAE-0517-4AD9-883B-9CE93EFB0CCC}"/>
    <cellStyle name="Normal 2 19 3" xfId="355" xr:uid="{B185A16B-F429-46F1-A163-0806B7C22933}"/>
    <cellStyle name="Normal 2 19 4" xfId="440" xr:uid="{F53A6B19-8038-43E7-AB9B-3CF607135DA7}"/>
    <cellStyle name="Normal 2 2" xfId="7" xr:uid="{00000000-0005-0000-0000-00003D000000}"/>
    <cellStyle name="Normal 2 20" xfId="217" xr:uid="{62E65EAF-2355-438E-BC47-0FD681B9B4D5}"/>
    <cellStyle name="Normal 2 3" xfId="47" xr:uid="{00000000-0005-0000-0000-00003E000000}"/>
    <cellStyle name="Normal 2 3 2" xfId="218" xr:uid="{1DF027E1-1E7B-431E-8C84-E353A25F5962}"/>
    <cellStyle name="Normal 2 4" xfId="219" xr:uid="{0A6F950C-AB8D-42EA-AC89-AFCEDCBF8A2E}"/>
    <cellStyle name="Normal 2 5" xfId="220" xr:uid="{6D4D47A6-66D9-41FE-96C6-3D1C365FB8F5}"/>
    <cellStyle name="Normal 2 6" xfId="221" xr:uid="{74B05D04-24CE-4B2E-A2B0-4584B9858806}"/>
    <cellStyle name="Normal 2 7" xfId="222" xr:uid="{FEAD321F-DD0A-4C5F-ABEA-31AB3A7BD98A}"/>
    <cellStyle name="Normal 2 8" xfId="223" xr:uid="{61EA76DF-0A00-4753-9186-60504BB3C990}"/>
    <cellStyle name="Normal 2 9" xfId="224" xr:uid="{852DB136-05CB-4B03-AEDB-96D045A33E4E}"/>
    <cellStyle name="Normal 20" xfId="95" xr:uid="{3301F195-A0B4-4E43-B9E0-0F19344311CB}"/>
    <cellStyle name="Normal 21" xfId="379" xr:uid="{22DDB83B-3417-4FC2-BC01-3928AA02A03D}"/>
    <cellStyle name="Normal 22" xfId="384" xr:uid="{F683484F-4F18-4A1C-B861-4063AD57EDA1}"/>
    <cellStyle name="Normal 23" xfId="225" xr:uid="{F1202109-46B8-4A47-9B40-095DBA9DEFB1}"/>
    <cellStyle name="Normal 23 2" xfId="226" xr:uid="{8A169911-2FBC-4E4B-942C-888BBAD68417}"/>
    <cellStyle name="Normal 24" xfId="82" xr:uid="{0382E568-3B3E-4746-8EE0-77CAA39A8516}"/>
    <cellStyle name="Normal 3" xfId="49" xr:uid="{00000000-0005-0000-0000-00003F000000}"/>
    <cellStyle name="Normal 3 10" xfId="227" xr:uid="{D91E114E-BDB4-4261-86D8-3237BFA589C2}"/>
    <cellStyle name="Normal 3 10 2" xfId="442" xr:uid="{8BB99D36-27FA-4460-84B0-BA220826FB6A}"/>
    <cellStyle name="Normal 3 11" xfId="228" xr:uid="{3CDF46D9-9817-4186-A62E-CB9784896A55}"/>
    <cellStyle name="Normal 3 2" xfId="229" xr:uid="{E9463491-7409-4D80-8E8B-B6858C43C76F}"/>
    <cellStyle name="Normal 3 2 2" xfId="443" xr:uid="{418336FF-922C-4A2A-95A0-03D4D5443C6A}"/>
    <cellStyle name="Normal 3 3" xfId="230" xr:uid="{056E2D4F-2757-4A93-B8EE-40386301F757}"/>
    <cellStyle name="Normal 3 3 2" xfId="444" xr:uid="{B99B6EE5-11C8-4D44-9481-12FC4D361BED}"/>
    <cellStyle name="Normal 3 4" xfId="231" xr:uid="{CF4FBEB0-B2C0-46E9-8D77-623CF2C7E137}"/>
    <cellStyle name="Normal 3 4 2" xfId="445" xr:uid="{0F6285DC-62FB-4D3B-8B34-8DEC7E4CD97C}"/>
    <cellStyle name="Normal 3 5" xfId="232" xr:uid="{6003119F-1892-44D8-BC22-9A4B4F2265E6}"/>
    <cellStyle name="Normal 3 5 2" xfId="446" xr:uid="{810AF623-B1C1-4930-A2E7-EDE23A533DA9}"/>
    <cellStyle name="Normal 3 6" xfId="233" xr:uid="{24D31227-E707-4C51-BF7D-1A557BB009AE}"/>
    <cellStyle name="Normal 3 6 2" xfId="447" xr:uid="{555E2D1A-512B-496E-BC4D-1F839B8899CD}"/>
    <cellStyle name="Normal 3 7" xfId="234" xr:uid="{C395F971-FFF9-430E-8256-F16D7513631D}"/>
    <cellStyle name="Normal 3 7 2" xfId="448" xr:uid="{292B6013-919E-4EC2-8873-226C4603065F}"/>
    <cellStyle name="Normal 3 8" xfId="235" xr:uid="{049A97D8-3914-4871-A8BE-7F9282F3547F}"/>
    <cellStyle name="Normal 3 8 2" xfId="449" xr:uid="{C93B2088-12D8-4F1B-BCB1-83804833A6F8}"/>
    <cellStyle name="Normal 3 9" xfId="236" xr:uid="{39579884-A931-4994-B5E4-C381EACBAC3D}"/>
    <cellStyle name="Normal 3 9 2" xfId="450" xr:uid="{650B8F5A-1068-4877-8883-271E074FB38B}"/>
    <cellStyle name="Normal 4" xfId="48" xr:uid="{00000000-0005-0000-0000-000040000000}"/>
    <cellStyle name="Normal 4 2" xfId="238" xr:uid="{DB67F71B-5044-412A-9807-D878394B1419}"/>
    <cellStyle name="Normal 4 3" xfId="303" xr:uid="{ECFEC71A-B528-48E5-9C90-A98BC0099F20}"/>
    <cellStyle name="Normal 4 4" xfId="237" xr:uid="{A61581D6-33ED-4CE0-8789-B987C0CAD4B5}"/>
    <cellStyle name="Normal 4 5" xfId="94" xr:uid="{045C2D4C-4253-45D5-9831-1FB761ED1BAE}"/>
    <cellStyle name="Normal 5" xfId="73" xr:uid="{00000000-0005-0000-0000-000041000000}"/>
    <cellStyle name="Normal 5 10" xfId="240" xr:uid="{247070EB-122A-441A-B283-DC622D380AC7}"/>
    <cellStyle name="Normal 5 10 2" xfId="451" xr:uid="{ECDEF67B-263D-49DE-9976-A343FAE3AEFE}"/>
    <cellStyle name="Normal 5 11" xfId="241" xr:uid="{B192723F-4348-4845-B384-9297588CF6AD}"/>
    <cellStyle name="Normal 5 12" xfId="239" xr:uid="{9E0CD6A4-E6AC-447E-9DFE-0161C55A07D5}"/>
    <cellStyle name="Normal 5 2" xfId="242" xr:uid="{407E0591-BC9C-48A6-9AB3-0C903C8C18EB}"/>
    <cellStyle name="Normal 5 2 2" xfId="243" xr:uid="{FD44D98E-03BA-4C9D-8E29-8314C83628A4}"/>
    <cellStyle name="Normal 5 2 3" xfId="452" xr:uid="{C063D488-1595-4540-BE5D-B73CC550B599}"/>
    <cellStyle name="Normal 5 3" xfId="244" xr:uid="{908E3EDE-8EB7-4ECA-9849-9240D29EAD6C}"/>
    <cellStyle name="Normal 5 3 2" xfId="453" xr:uid="{438B43B1-BD45-40FA-B21F-E1852731F155}"/>
    <cellStyle name="Normal 5 4" xfId="245" xr:uid="{C941590B-1338-4322-B7D0-CA0C6B1475D6}"/>
    <cellStyle name="Normal 5 4 2" xfId="454" xr:uid="{DAA99B6F-27A0-47B9-B790-095977837889}"/>
    <cellStyle name="Normal 5 5" xfId="246" xr:uid="{0E184C1C-A9FE-49A9-ACF1-6BE1DB577526}"/>
    <cellStyle name="Normal 5 5 2" xfId="455" xr:uid="{D3B442D4-FE1C-4D4D-AE9B-1125C18FCD3B}"/>
    <cellStyle name="Normal 5 6" xfId="247" xr:uid="{B141911B-6088-4CF2-A4DE-70BC7E4AE0F5}"/>
    <cellStyle name="Normal 5 6 2" xfId="456" xr:uid="{B165270F-4655-4D99-AA88-40A348894A13}"/>
    <cellStyle name="Normal 5 7" xfId="248" xr:uid="{DAF16B7F-9473-4B3E-B4AB-A55F12EF2DED}"/>
    <cellStyle name="Normal 5 7 2" xfId="457" xr:uid="{A77EDBB1-D785-4A0A-B27D-89A8091D4D47}"/>
    <cellStyle name="Normal 5 8" xfId="249" xr:uid="{DECE9A6A-28A8-4CAE-A5AE-092B625EBDEE}"/>
    <cellStyle name="Normal 5 8 2" xfId="458" xr:uid="{F931E0E2-475B-4BF7-A572-872A56A4F893}"/>
    <cellStyle name="Normal 5 9" xfId="250" xr:uid="{D4D766D3-A183-4A30-9BF6-C0434F178987}"/>
    <cellStyle name="Normal 5 9 2" xfId="459" xr:uid="{EAE67A17-2DE9-4F08-B269-1535CBE8E224}"/>
    <cellStyle name="Normal 6" xfId="78" xr:uid="{00000000-0005-0000-0000-000042000000}"/>
    <cellStyle name="Normal 6 2" xfId="251" xr:uid="{7D5CE7AB-2842-4A1E-B4F6-845D54D5691D}"/>
    <cellStyle name="Normal 6 2 2" xfId="356" xr:uid="{E2054748-1DD9-4739-88BA-E3CA38C03984}"/>
    <cellStyle name="Normal 6 2 3" xfId="315" xr:uid="{6CBC9D0F-BFA8-429D-AC3E-E4A1D5955754}"/>
    <cellStyle name="Normal 6 2 4" xfId="460" xr:uid="{F38E7D13-8888-455F-A5DE-AC8411C4474A}"/>
    <cellStyle name="Normal 6 3" xfId="252" xr:uid="{C6000B56-FE2E-4B21-95D8-62B2847812A2}"/>
    <cellStyle name="Normal 6 3 2" xfId="253" xr:uid="{3929B8AF-5470-4163-8E4E-9DE67F613BD9}"/>
    <cellStyle name="Normal 6 4" xfId="254" xr:uid="{46A1B650-9B16-48EF-B616-A13D2A777A53}"/>
    <cellStyle name="Normal 7" xfId="42" xr:uid="{00000000-0005-0000-0000-000043000000}"/>
    <cellStyle name="Normal 7 2" xfId="256" xr:uid="{5B5870ED-98A0-4AF5-B57D-72A740032BA9}"/>
    <cellStyle name="Normal 7 2 2" xfId="257" xr:uid="{FEBB9A1C-F737-4CEE-87E5-F379BEC78F7E}"/>
    <cellStyle name="Normal 7 2 3" xfId="461" xr:uid="{CFA4AE6E-D018-4A87-B779-6FE8E58AF8DD}"/>
    <cellStyle name="Normal 7 3" xfId="258" xr:uid="{40FADE51-3D21-435E-8196-C0352D862D1E}"/>
    <cellStyle name="Normal 7 3 2" xfId="462" xr:uid="{DF6CFB53-DA31-4D9E-A399-0DDDA499C898}"/>
    <cellStyle name="Normal 7 4" xfId="259" xr:uid="{CF349F75-6177-4CA7-B7B3-72E1F249038B}"/>
    <cellStyle name="Normal 7 4 2" xfId="463" xr:uid="{CC497578-2496-4FFA-9AC2-35F280D1ED0F}"/>
    <cellStyle name="Normal 7 5" xfId="260" xr:uid="{9184A393-A8C1-44A0-93D2-FF2237C6FAC6}"/>
    <cellStyle name="Normal 7 5 2" xfId="464" xr:uid="{F38E6AE0-1F97-4A3D-91EA-C637AC627C00}"/>
    <cellStyle name="Normal 7 6" xfId="261" xr:uid="{EB6E3A3D-D2ED-4F8A-ACE1-850F06E5D5D1}"/>
    <cellStyle name="Normal 7 6 2" xfId="465" xr:uid="{A8F6CEDD-4E0B-4C45-B6AF-2C2D53CA9830}"/>
    <cellStyle name="Normal 7 7" xfId="262" xr:uid="{FB0563A1-24CD-412A-A156-0C936079B587}"/>
    <cellStyle name="Normal 7 7 2" xfId="466" xr:uid="{F22F9C1E-8503-40AC-967B-7C05B1A3919C}"/>
    <cellStyle name="Normal 7 8" xfId="263" xr:uid="{B61A9435-7A98-4356-BAD9-C835E14506C1}"/>
    <cellStyle name="Normal 7 9" xfId="255" xr:uid="{C4F10087-2750-4E85-9BD4-EB910BAD6E94}"/>
    <cellStyle name="Normal 8" xfId="54" xr:uid="{00000000-0005-0000-0000-000044000000}"/>
    <cellStyle name="Normal 8 2" xfId="264" xr:uid="{1B8CC1E3-87A1-4E1B-A110-F7FC8636FEFB}"/>
    <cellStyle name="Normal 8 2 2" xfId="467" xr:uid="{27154343-8B1D-4409-8C4A-C8B77F3D080B}"/>
    <cellStyle name="Normal 8 3" xfId="265" xr:uid="{703F1E8B-6D07-4923-9330-4D0B50B48644}"/>
    <cellStyle name="Normal 8 3 2" xfId="468" xr:uid="{A11CF39C-4B53-4565-A241-344EED741870}"/>
    <cellStyle name="Normal 8 4" xfId="266" xr:uid="{3E181FE6-3C52-408E-B3A2-ED2A86CB4078}"/>
    <cellStyle name="Normal 8 4 2" xfId="469" xr:uid="{14A45C1F-1080-402E-9471-49C08AEA0975}"/>
    <cellStyle name="Normal 8 5" xfId="267" xr:uid="{3837E640-881E-41CF-82C8-326FA1D1FFC5}"/>
    <cellStyle name="Normal 8 5 2" xfId="470" xr:uid="{89D188BC-18B5-45FF-A98A-8382EF96E231}"/>
    <cellStyle name="Normal 8 6" xfId="268" xr:uid="{5D2835CA-9D7D-4A56-BAE4-E645D292D3D7}"/>
    <cellStyle name="Normal 8 6 2" xfId="471" xr:uid="{FA03AE85-24FE-4B02-B87C-C9292DFA1AA9}"/>
    <cellStyle name="Normal 8 7" xfId="269" xr:uid="{3B4D5047-7F06-4231-B07B-9BA47D44C157}"/>
    <cellStyle name="Normal 8 7 2" xfId="472" xr:uid="{82E81852-19F0-449D-B2FE-D4D759C43AC7}"/>
    <cellStyle name="Normal 9" xfId="55" xr:uid="{00000000-0005-0000-0000-000045000000}"/>
    <cellStyle name="Normal 9 2" xfId="270" xr:uid="{AD357420-B638-4B56-895D-78203BA8838C}"/>
    <cellStyle name="Normal 9 2 2" xfId="271" xr:uid="{2D28029B-484D-43E7-A503-0569BB5608B3}"/>
    <cellStyle name="Normal 9 2 3" xfId="473" xr:uid="{DC0DD600-D217-4273-87DB-C51A2E3E4E36}"/>
    <cellStyle name="Normal 9 3" xfId="272" xr:uid="{65D91D62-F938-4B0A-90BD-FA49E6D8AB91}"/>
    <cellStyle name="Normal 9 3 2" xfId="474" xr:uid="{0F5E4B67-DB9A-49EF-8928-A1E9B523B3FB}"/>
    <cellStyle name="Normal 9 4" xfId="273" xr:uid="{4D0925E5-FF66-4DE7-A8D1-AD772129C9F0}"/>
    <cellStyle name="Normal 9 4 2" xfId="475" xr:uid="{12F2E7DE-F643-4104-ADD9-D9626E0C0442}"/>
    <cellStyle name="Normal 9 5" xfId="274" xr:uid="{6F647248-8222-473E-9531-7D5092603B9A}"/>
    <cellStyle name="Normal 9 5 2" xfId="476" xr:uid="{50BF1206-CF7B-4621-84D2-01460D924390}"/>
    <cellStyle name="Normal 9 6" xfId="275" xr:uid="{E5E39A17-AF10-4356-8CE0-AC5C0720DFA7}"/>
    <cellStyle name="Normal 9 6 2" xfId="477" xr:uid="{DB02523E-8A61-43A0-A05D-98B8067764BB}"/>
    <cellStyle name="Normal 9 7" xfId="276" xr:uid="{13C30EA9-47BA-4AF7-B063-F78546978ED3}"/>
    <cellStyle name="Normal 9 7 2" xfId="478" xr:uid="{328F7557-8379-4F4F-BBB9-39B2E4F755A0}"/>
    <cellStyle name="Normal 9 8" xfId="277" xr:uid="{7D2DB278-6800-4874-A1EA-8B66FCE5BCF1}"/>
    <cellStyle name="Notas 10" xfId="278" xr:uid="{3C06988C-B174-40D1-B5CC-15383CECC1EC}"/>
    <cellStyle name="Notas 10 2" xfId="479" xr:uid="{3CD419EA-0B18-4F01-964F-ADBC199D19A8}"/>
    <cellStyle name="Notas 11" xfId="279" xr:uid="{6A9ADFF6-E746-49F6-9421-CC00AA2048F7}"/>
    <cellStyle name="Notas 11 2" xfId="480" xr:uid="{456A6677-9D2C-4A17-B74D-E7F79C05F000}"/>
    <cellStyle name="Notas 12" xfId="280" xr:uid="{37756899-EDA6-47DF-8BBE-F53EF0C7310E}"/>
    <cellStyle name="Notas 12 2" xfId="481" xr:uid="{D64F3210-0FCB-4675-837F-EE545476D735}"/>
    <cellStyle name="Notas 13" xfId="281" xr:uid="{AE680C79-3919-403B-B3A3-922929D27E4E}"/>
    <cellStyle name="Notas 13 2" xfId="482" xr:uid="{1E32888D-D3F2-4EB4-8179-CC09E55D861B}"/>
    <cellStyle name="Notas 14" xfId="282" xr:uid="{F010F45E-7271-4C76-8536-C88DCD9B126D}"/>
    <cellStyle name="Notas 14 2" xfId="483" xr:uid="{D1CA0B0D-696F-45D9-AE2F-84BD2D5398CB}"/>
    <cellStyle name="Notas 15" xfId="283" xr:uid="{2AA10DF1-EC46-4514-991E-9B31BC605B45}"/>
    <cellStyle name="Notas 15 2" xfId="484" xr:uid="{A6BF2DA5-1572-4351-9979-AD9D013B0D14}"/>
    <cellStyle name="Notas 16" xfId="284" xr:uid="{B0294819-1FCF-475B-8FE8-06C29C7752FE}"/>
    <cellStyle name="Notas 16 2" xfId="485" xr:uid="{BC8BDBFD-A397-4509-9942-EF1DF5C2C02A}"/>
    <cellStyle name="Notas 17" xfId="285" xr:uid="{D0093ADD-75BD-4EFF-A4FA-0B0DE7A29296}"/>
    <cellStyle name="Notas 17 2" xfId="486" xr:uid="{41C1C37F-994B-405A-BC19-01EBD4F070F9}"/>
    <cellStyle name="Notas 18" xfId="308" xr:uid="{109D7798-5BDB-46C3-A40B-D8728567235D}"/>
    <cellStyle name="Notas 2" xfId="75" xr:uid="{00000000-0005-0000-0000-000046000000}"/>
    <cellStyle name="Notas 2 2" xfId="286" xr:uid="{CA984DC3-31C1-4FE4-9CDA-0F2C60B9905E}"/>
    <cellStyle name="Notas 2 3" xfId="487" xr:uid="{310B50A7-31BD-4381-917A-BBC5F455A5B8}"/>
    <cellStyle name="Notas 3" xfId="287" xr:uid="{8D388AF9-9C22-457F-BDD8-1AB967B1A62E}"/>
    <cellStyle name="Notas 3 2" xfId="488" xr:uid="{70E690EB-5E20-4DCF-B802-873A68B4B735}"/>
    <cellStyle name="Notas 4" xfId="288" xr:uid="{642C6BA9-DD01-4720-9787-65D8AAA6EB0B}"/>
    <cellStyle name="Notas 4 2" xfId="489" xr:uid="{AD8F9C25-F2F1-4B34-B168-D0E64D4A0C0E}"/>
    <cellStyle name="Notas 5" xfId="289" xr:uid="{368D6A97-33ED-49F6-8F87-8E62A1E5BC3B}"/>
    <cellStyle name="Notas 5 2" xfId="490" xr:uid="{70630633-CAC7-4C18-A39D-4A498F50FF55}"/>
    <cellStyle name="Notas 6" xfId="290" xr:uid="{F909094F-1053-4B8A-ACC3-56853F1D284D}"/>
    <cellStyle name="Notas 6 2" xfId="491" xr:uid="{C1A0C988-4FA5-4C91-B3E8-454C29B8F57F}"/>
    <cellStyle name="Notas 7" xfId="291" xr:uid="{0B547483-88BE-432D-9DF5-10A9E791212D}"/>
    <cellStyle name="Notas 7 2" xfId="492" xr:uid="{01C5C50E-8701-4EED-A417-C75A2AD1827F}"/>
    <cellStyle name="Notas 8" xfId="292" xr:uid="{4BFB1A0B-6B92-462B-80B9-54FE293A43E8}"/>
    <cellStyle name="Notas 8 2" xfId="493" xr:uid="{FDFEC474-DCDA-4E14-A123-DCDF5DFA8BA8}"/>
    <cellStyle name="Notas 9" xfId="293" xr:uid="{C4167BC0-F8A1-41B5-8BE5-4E9AC7F41E44}"/>
    <cellStyle name="Notas 9 2" xfId="494" xr:uid="{95F6FBD7-0DDA-4397-8B56-53ECFBD379A4}"/>
    <cellStyle name="Percent 3" xfId="300" xr:uid="{72B150EB-6B51-49DB-AD38-1BF5072FED2F}"/>
    <cellStyle name="Porcentaje" xfId="3" builtinId="5"/>
    <cellStyle name="Porcentaje 2" xfId="6" xr:uid="{00000000-0005-0000-0000-000048000000}"/>
    <cellStyle name="Porcentaje 2 2" xfId="51" xr:uid="{00000000-0005-0000-0000-000049000000}"/>
    <cellStyle name="Porcentaje 2 2 2" xfId="296" xr:uid="{DF53DCFE-5C65-45E6-B90A-59E687BB2ADA}"/>
    <cellStyle name="Porcentaje 2 3" xfId="50" xr:uid="{00000000-0005-0000-0000-00004A000000}"/>
    <cellStyle name="Porcentaje 3" xfId="92" xr:uid="{9DE3DEAB-C1F4-47CE-9A5C-87E8895F3F63}"/>
    <cellStyle name="Porcentaje 4" xfId="294" xr:uid="{80E22B83-E0DD-4A9A-92E1-40A93074F96F}"/>
    <cellStyle name="Porcentaje 5" xfId="382" xr:uid="{635212DE-881F-4AD3-BAD7-45E0C60461EB}"/>
    <cellStyle name="Porcentaje 6" xfId="495" xr:uid="{E65C6FA5-3081-4FF7-BCE1-B26C96F04DF8}"/>
    <cellStyle name="Porcentaje 7" xfId="84" xr:uid="{1FDF4963-64F0-401F-9CB4-BD2FBD029312}"/>
    <cellStyle name="Salida" xfId="17" builtinId="21" customBuiltin="1"/>
    <cellStyle name="Texto de advertencia" xfId="21" builtinId="11" customBuiltin="1"/>
    <cellStyle name="Texto explicativo" xfId="22" builtinId="53" customBuiltin="1"/>
    <cellStyle name="Título" xfId="9" builtinId="15" customBuiltin="1"/>
    <cellStyle name="Título 2" xfId="11" builtinId="17" customBuiltin="1"/>
    <cellStyle name="Título 3" xfId="12" builtinId="18" customBuiltin="1"/>
    <cellStyle name="Título 4" xfId="309" xr:uid="{0ADAA2B7-2FAA-458B-8CAF-FEAACD2EE9A0}"/>
    <cellStyle name="Título 5" xfId="295" xr:uid="{B285AAD9-0D1B-4A47-830D-AD2A061170A4}"/>
    <cellStyle name="Total" xfId="23" builtinId="25" customBuiltin="1"/>
  </cellStyles>
  <dxfs count="77"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z val="10"/>
        <color rgb="FF002060"/>
        <name val="Aptos Narrow"/>
        <scheme val="none"/>
      </font>
      <numFmt numFmtId="1" formatCode="0"/>
      <fill>
        <patternFill patternType="solid">
          <fgColor indexed="64"/>
          <bgColor theme="0"/>
        </patternFill>
      </fill>
      <protection locked="0"/>
    </dxf>
    <dxf>
      <font>
        <sz val="10"/>
        <color rgb="FF002060"/>
        <name val="Aptos Narrow"/>
        <scheme val="none"/>
      </font>
      <numFmt numFmtId="1" formatCode="0"/>
      <fill>
        <patternFill patternType="solid">
          <fgColor indexed="64"/>
          <bgColor theme="0"/>
        </patternFill>
      </fill>
      <protection locked="0"/>
    </dxf>
    <dxf>
      <font>
        <color auto="1"/>
      </font>
    </dxf>
    <dxf>
      <font>
        <color auto="1"/>
      </font>
    </dxf>
    <dxf>
      <font>
        <name val="Arial Narrow"/>
        <scheme val="none"/>
      </font>
    </dxf>
    <dxf>
      <font>
        <name val="Arial Narrow"/>
        <scheme val="none"/>
      </font>
    </dxf>
    <dxf>
      <numFmt numFmtId="166" formatCode="_-* #,##0.00\ _€_-;\-* #,##0.00\ _€_-;_-* &quot;-&quot;??\ _€_-;_-@_-"/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z val="10"/>
        <color rgb="FF002060"/>
        <name val="Aptos Narrow"/>
        <scheme val="none"/>
      </font>
      <numFmt numFmtId="1" formatCode="0"/>
      <fill>
        <patternFill patternType="solid">
          <fgColor indexed="64"/>
          <bgColor theme="0"/>
        </patternFill>
      </fill>
      <protection locked="0"/>
    </dxf>
    <dxf>
      <font>
        <sz val="10"/>
        <color rgb="FF002060"/>
        <name val="Aptos Narrow"/>
        <scheme val="none"/>
      </font>
      <numFmt numFmtId="1" formatCode="0"/>
      <fill>
        <patternFill patternType="solid">
          <fgColor indexed="64"/>
          <bgColor theme="0"/>
        </patternFill>
      </fill>
      <protection locked="0"/>
    </dxf>
    <dxf>
      <font>
        <color auto="1"/>
      </font>
    </dxf>
    <dxf>
      <font>
        <color auto="1"/>
      </font>
    </dxf>
    <dxf>
      <font>
        <name val="Arial Narrow"/>
        <scheme val="none"/>
      </font>
    </dxf>
    <dxf>
      <font>
        <name val="Arial Narrow"/>
        <scheme val="none"/>
      </font>
    </dxf>
    <dxf>
      <numFmt numFmtId="166" formatCode="_-* #,##0.00\ _€_-;\-* #,##0.00\ _€_-;_-* &quot;-&quot;??\ _€_-;_-@_-"/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font>
        <name val="Aptos Narrow"/>
      </font>
    </dxf>
    <dxf>
      <numFmt numFmtId="166" formatCode="_-* #,##0.00\ _€_-;\-* #,##0.00\ _€_-;_-* &quot;-&quot;??\ _€_-;_-@_-"/>
    </dxf>
    <dxf>
      <numFmt numFmtId="166" formatCode="_-* #,##0.00\ _€_-;\-* #,##0.00\ _€_-;_-* &quot;-&quot;??\ _€_-;_-@_-"/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ont>
        <name val="Aptos Narrow"/>
        <family val="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6" formatCode="_-* #,##0.00\ _€_-;\-* #,##0.00\ _€_-;_-* &quot;-&quot;??\ _€_-;_-@_-"/>
    </dxf>
    <dxf>
      <font>
        <sz val="9"/>
      </font>
    </dxf>
    <dxf>
      <font>
        <sz val="9"/>
      </font>
    </dxf>
    <dxf>
      <font>
        <sz val="9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numFmt numFmtId="166" formatCode="_-* #,##0.00\ _€_-;\-* #,##0.00\ _€_-;_-* &quot;-&quot;??\ _€_-;_-@_-"/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numFmt numFmtId="166" formatCode="_-* #,##0.00\ _€_-;\-* #,##0.00\ _€_-;_-* &quot;-&quot;??\ _€_-;_-@_-"/>
    </dxf>
    <dxf>
      <font>
        <sz val="9"/>
      </font>
    </dxf>
    <dxf>
      <font>
        <sz val="9"/>
      </font>
    </dxf>
    <dxf>
      <font>
        <sz val="9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  <dxf>
      <font>
        <name val="Aptos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pivotCacheDefinition" Target="pivotCache/pivotCacheDefinition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HN"/>
              <a:t>Comparativo del Crecimiento de la</a:t>
            </a:r>
          </a:p>
          <a:p>
            <a:pPr>
              <a:defRPr/>
            </a:pPr>
            <a:r>
              <a:rPr lang="es-HN"/>
              <a:t> prima neta suscrita con la PMD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20483864804255789"/>
          <c:y val="0.25789830508474576"/>
          <c:w val="0.69939079454148689"/>
          <c:h val="0.52482085502024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PMD PAGADAS'!$N$25</c:f>
              <c:strCache>
                <c:ptCount val="1"/>
                <c:pt idx="0">
                  <c:v>Prima Neta Suscrita</c:v>
                </c:pt>
              </c:strCache>
            </c:strRef>
          </c:tx>
          <c:spPr>
            <a:gradFill rotWithShape="1">
              <a:gsLst>
                <a:gs pos="0">
                  <a:schemeClr val="accent2"/>
                </a:gs>
                <a:gs pos="100000">
                  <a:schemeClr val="accent2">
                    <a:shade val="48000"/>
                    <a:satMod val="180000"/>
                    <a:lumMod val="94000"/>
                  </a:schemeClr>
                </a:gs>
                <a:gs pos="100000">
                  <a:schemeClr val="accent2">
                    <a:shade val="48000"/>
                    <a:satMod val="180000"/>
                    <a:lumMod val="94000"/>
                  </a:schemeClr>
                </a:gs>
              </a:gsLst>
              <a:lin ang="4140000" scaled="1"/>
            </a:gradFill>
            <a:ln>
              <a:noFill/>
            </a:ln>
            <a:effectLst>
              <a:outerShdw blurRad="76200" dist="38100" dir="5400000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l">
                <a:rot lat="0" lon="0" rev="19800000"/>
              </a:lightRig>
            </a:scene3d>
            <a:sp3d prstMaterial="plastic">
              <a:bevelT w="25400" h="19050"/>
            </a:sp3d>
          </c:spPr>
          <c:invertIfNegative val="0"/>
          <c:cat>
            <c:numRef>
              <c:f>'RESUMEN PMD PAGADAS'!$M$26:$M$36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PMD PAGADAS'!$N$26:$N$36</c:f>
              <c:numCache>
                <c:formatCode>_-* #,##0.00\ _€_-;\-* #,##0.00\ _€_-;_-* "-"??\ _€_-;_-@_-</c:formatCode>
                <c:ptCount val="11"/>
                <c:pt idx="0">
                  <c:v>140392057.55000004</c:v>
                </c:pt>
                <c:pt idx="1">
                  <c:v>168296721.84999999</c:v>
                </c:pt>
                <c:pt idx="2">
                  <c:v>185942619.64999998</c:v>
                </c:pt>
                <c:pt idx="3">
                  <c:v>207803960.53</c:v>
                </c:pt>
                <c:pt idx="4">
                  <c:v>231425923.58999956</c:v>
                </c:pt>
                <c:pt idx="5">
                  <c:v>272010888.56907135</c:v>
                </c:pt>
                <c:pt idx="6">
                  <c:v>293791301.54140311</c:v>
                </c:pt>
                <c:pt idx="7">
                  <c:v>302228176.98833668</c:v>
                </c:pt>
                <c:pt idx="8">
                  <c:v>466714933.44608998</c:v>
                </c:pt>
                <c:pt idx="9">
                  <c:v>428339390.36000007</c:v>
                </c:pt>
                <c:pt idx="10">
                  <c:v>395726409.16000003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B-4F22-A37A-B33505FB0A51}"/>
            </c:ext>
          </c:extLst>
        </c:ser>
        <c:ser>
          <c:idx val="1"/>
          <c:order val="1"/>
          <c:tx>
            <c:strRef>
              <c:f>'RESUMEN PMD PAGADAS'!$O$25</c:f>
              <c:strCache>
                <c:ptCount val="1"/>
                <c:pt idx="0">
                  <c:v>Prima del Contrato</c:v>
                </c:pt>
              </c:strCache>
            </c:strRef>
          </c:tx>
          <c:spPr>
            <a:gradFill rotWithShape="1">
              <a:gsLst>
                <a:gs pos="0">
                  <a:schemeClr val="accent4"/>
                </a:gs>
                <a:gs pos="100000">
                  <a:schemeClr val="accent4">
                    <a:shade val="48000"/>
                    <a:satMod val="180000"/>
                    <a:lumMod val="94000"/>
                  </a:schemeClr>
                </a:gs>
                <a:gs pos="100000">
                  <a:schemeClr val="accent4">
                    <a:shade val="48000"/>
                    <a:satMod val="180000"/>
                    <a:lumMod val="94000"/>
                  </a:schemeClr>
                </a:gs>
              </a:gsLst>
              <a:lin ang="4140000" scaled="1"/>
            </a:gradFill>
            <a:ln>
              <a:noFill/>
            </a:ln>
            <a:effectLst>
              <a:outerShdw blurRad="76200" dist="38100" dir="5400000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l">
                <a:rot lat="0" lon="0" rev="19800000"/>
              </a:lightRig>
            </a:scene3d>
            <a:sp3d prstMaterial="plastic">
              <a:bevelT w="25400" h="19050"/>
            </a:sp3d>
          </c:spPr>
          <c:invertIfNegative val="0"/>
          <c:cat>
            <c:numRef>
              <c:f>'RESUMEN PMD PAGADAS'!$M$26:$M$36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PMD PAGADAS'!$O$26:$O$32</c:f>
              <c:numCache>
                <c:formatCode>_-* #,##0.00\ _€_-;\-* #,##0.00\ _€_-;_-* "-"??\ _€_-;_-@_-</c:formatCode>
                <c:ptCount val="7"/>
                <c:pt idx="0">
                  <c:v>7850462.6711089993</c:v>
                </c:pt>
                <c:pt idx="1">
                  <c:v>10737817.031640003</c:v>
                </c:pt>
                <c:pt idx="2">
                  <c:v>11814590.722825797</c:v>
                </c:pt>
                <c:pt idx="3">
                  <c:v>11284419.62479</c:v>
                </c:pt>
                <c:pt idx="4">
                  <c:v>21339584.282626852</c:v>
                </c:pt>
                <c:pt idx="5">
                  <c:v>21339584.282626852</c:v>
                </c:pt>
                <c:pt idx="6">
                  <c:v>23209512.821770847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B-4F22-A37A-B33505FB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6807200"/>
        <c:axId val="836808376"/>
      </c:barChart>
      <c:lineChart>
        <c:grouping val="standard"/>
        <c:varyColors val="0"/>
        <c:ser>
          <c:idx val="2"/>
          <c:order val="2"/>
          <c:tx>
            <c:strRef>
              <c:f>'RESUMEN PMD PAGADAS'!$P$25</c:f>
              <c:strCache>
                <c:ptCount val="1"/>
                <c:pt idx="0">
                  <c:v>Tasas del Contrato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76200" dist="38100" dir="5400000" rotWithShape="0">
                <a:srgbClr val="000000">
                  <a:alpha val="60000"/>
                </a:srgbClr>
              </a:outerShdw>
            </a:effectLst>
          </c:spPr>
          <c:marker>
            <c:symbol val="none"/>
          </c:marker>
          <c:cat>
            <c:numRef>
              <c:f>'RESUMEN PMD PAGADAS'!$M$26:$M$36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PMD PAGADAS'!$P$26:$P$36</c:f>
              <c:numCache>
                <c:formatCode>0.00%</c:formatCode>
                <c:ptCount val="11"/>
                <c:pt idx="0">
                  <c:v>5.8099999999999999E-2</c:v>
                </c:pt>
                <c:pt idx="1">
                  <c:v>6.6000000000000003E-2</c:v>
                </c:pt>
                <c:pt idx="2">
                  <c:v>6.54E-2</c:v>
                </c:pt>
                <c:pt idx="3">
                  <c:v>5.3754000000000003E-2</c:v>
                </c:pt>
                <c:pt idx="4">
                  <c:v>8.2600000000000007E-2</c:v>
                </c:pt>
                <c:pt idx="5">
                  <c:v>5.8799999999999998E-2</c:v>
                </c:pt>
                <c:pt idx="6">
                  <c:v>7.9000000000000001E-2</c:v>
                </c:pt>
                <c:pt idx="7">
                  <c:v>8.6900000000000005E-2</c:v>
                </c:pt>
                <c:pt idx="8">
                  <c:v>0.16250000000000001</c:v>
                </c:pt>
                <c:pt idx="9">
                  <c:v>9.5000000000000001E-2</c:v>
                </c:pt>
                <c:pt idx="10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B-4F22-A37A-B33505FB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809944"/>
        <c:axId val="836809160"/>
      </c:lineChart>
      <c:catAx>
        <c:axId val="8368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836808376"/>
        <c:crosses val="autoZero"/>
        <c:auto val="1"/>
        <c:lblAlgn val="ctr"/>
        <c:lblOffset val="100"/>
        <c:noMultiLvlLbl val="0"/>
      </c:catAx>
      <c:valAx>
        <c:axId val="836808376"/>
        <c:scaling>
          <c:orientation val="minMax"/>
        </c:scaling>
        <c:delete val="0"/>
        <c:axPos val="l"/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836807200"/>
        <c:crosses val="autoZero"/>
        <c:crossBetween val="between"/>
      </c:valAx>
      <c:valAx>
        <c:axId val="836809160"/>
        <c:scaling>
          <c:orientation val="minMax"/>
          <c:min val="4.0000000000000008E-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836809944"/>
        <c:crosses val="max"/>
        <c:crossBetween val="between"/>
      </c:valAx>
      <c:catAx>
        <c:axId val="836809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6809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H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Siniestralidad Reaseguro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2011 - 2025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PMD PAGADAS'!$N$4</c:f>
              <c:strCache>
                <c:ptCount val="1"/>
                <c:pt idx="0">
                  <c:v>Siniestros a cargo del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'RESUMEN PMD PAGADAS'!$M$5:$M$19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'RESUMEN PMD PAGADAS'!$N$5:$N$19</c:f>
              <c:numCache>
                <c:formatCode>_-* #,##0.00\ _€_-;\-* #,##0.00\ _€_-;_-* "-"??\ _€_-;_-@_-</c:formatCode>
                <c:ptCount val="15"/>
                <c:pt idx="0">
                  <c:v>20420302.950000007</c:v>
                </c:pt>
                <c:pt idx="1">
                  <c:v>16111544.090000004</c:v>
                </c:pt>
                <c:pt idx="2">
                  <c:v>14654076.719999995</c:v>
                </c:pt>
                <c:pt idx="3">
                  <c:v>6100112.3599999985</c:v>
                </c:pt>
                <c:pt idx="4">
                  <c:v>13357913</c:v>
                </c:pt>
                <c:pt idx="5">
                  <c:v>22047202.295000002</c:v>
                </c:pt>
                <c:pt idx="6">
                  <c:v>10985049.370000001</c:v>
                </c:pt>
                <c:pt idx="7">
                  <c:v>23601240.597499989</c:v>
                </c:pt>
                <c:pt idx="8">
                  <c:v>8301508.379999999</c:v>
                </c:pt>
                <c:pt idx="9">
                  <c:v>26002519.599999998</c:v>
                </c:pt>
                <c:pt idx="10">
                  <c:v>30934977.90000001</c:v>
                </c:pt>
                <c:pt idx="11">
                  <c:v>33888499.199999996</c:v>
                </c:pt>
                <c:pt idx="12">
                  <c:v>21664771.629999995</c:v>
                </c:pt>
                <c:pt idx="13">
                  <c:v>35441446.039999992</c:v>
                </c:pt>
                <c:pt idx="14">
                  <c:v>22814087.23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153-AB32-A387E6C8AB52}"/>
            </c:ext>
          </c:extLst>
        </c:ser>
        <c:ser>
          <c:idx val="1"/>
          <c:order val="1"/>
          <c:tx>
            <c:strRef>
              <c:f>'RESUMEN PMD PAGADAS'!$O$4</c:f>
              <c:strCache>
                <c:ptCount val="1"/>
                <c:pt idx="0">
                  <c:v>Prima del Contrato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'RESUMEN PMD PAGADAS'!$M$5:$M$19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'RESUMEN PMD PAGADAS'!$O$5:$O$19</c:f>
              <c:numCache>
                <c:formatCode>_-* #,##0.00\ _€_-;\-* #,##0.00\ _€_-;_-* "-"??\ _€_-;_-@_-</c:formatCode>
                <c:ptCount val="15"/>
                <c:pt idx="0">
                  <c:v>9573889.379999999</c:v>
                </c:pt>
                <c:pt idx="1">
                  <c:v>8739787</c:v>
                </c:pt>
                <c:pt idx="2">
                  <c:v>14646721.129999999</c:v>
                </c:pt>
                <c:pt idx="3">
                  <c:v>7850462.6711089993</c:v>
                </c:pt>
                <c:pt idx="4">
                  <c:v>10737817.031640003</c:v>
                </c:pt>
                <c:pt idx="5">
                  <c:v>11814590.722825797</c:v>
                </c:pt>
                <c:pt idx="6">
                  <c:v>11284419.62479</c:v>
                </c:pt>
                <c:pt idx="7">
                  <c:v>21339584.282626852</c:v>
                </c:pt>
                <c:pt idx="8">
                  <c:v>15824598.309257999</c:v>
                </c:pt>
                <c:pt idx="9">
                  <c:v>23223235.219999999</c:v>
                </c:pt>
                <c:pt idx="10">
                  <c:v>30942146.27</c:v>
                </c:pt>
                <c:pt idx="11">
                  <c:v>43502997.499999963</c:v>
                </c:pt>
                <c:pt idx="12">
                  <c:v>25521545.612500012</c:v>
                </c:pt>
                <c:pt idx="13">
                  <c:v>17798717.053124998</c:v>
                </c:pt>
                <c:pt idx="14">
                  <c:v>19797561.822916668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5-4153-AB32-A387E6C8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6810728"/>
        <c:axId val="836811904"/>
      </c:barChart>
      <c:lineChart>
        <c:grouping val="standard"/>
        <c:varyColors val="0"/>
        <c:ser>
          <c:idx val="2"/>
          <c:order val="2"/>
          <c:tx>
            <c:strRef>
              <c:f>'RESUMEN PMD PAGADAS'!$P$4</c:f>
              <c:strCache>
                <c:ptCount val="1"/>
                <c:pt idx="0">
                  <c:v>% de Siniestralidad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'RESUMEN PMD PAGADAS'!$M$5:$M$19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'RESUMEN PMD PAGADAS'!$P$5:$P$19</c:f>
              <c:numCache>
                <c:formatCode>0%</c:formatCode>
                <c:ptCount val="15"/>
                <c:pt idx="0">
                  <c:v>2.1329161158534307</c:v>
                </c:pt>
                <c:pt idx="1">
                  <c:v>1.843471023950584</c:v>
                </c:pt>
                <c:pt idx="2">
                  <c:v>1.0005022004539248</c:v>
                </c:pt>
                <c:pt idx="3">
                  <c:v>0.77703857919730268</c:v>
                </c:pt>
                <c:pt idx="4">
                  <c:v>1.2440063898127185</c:v>
                </c:pt>
                <c:pt idx="5">
                  <c:v>1.8660995384634689</c:v>
                </c:pt>
                <c:pt idx="6">
                  <c:v>0.97347047834588396</c:v>
                </c:pt>
                <c:pt idx="7">
                  <c:v>1.1059840850186764</c:v>
                </c:pt>
                <c:pt idx="8">
                  <c:v>0.52459520410974958</c:v>
                </c:pt>
                <c:pt idx="9">
                  <c:v>1.1196768819534009</c:v>
                </c:pt>
                <c:pt idx="10">
                  <c:v>0.99976832990389741</c:v>
                </c:pt>
                <c:pt idx="11">
                  <c:v>0.77899227978485908</c:v>
                </c:pt>
                <c:pt idx="12">
                  <c:v>0.84888164529459231</c:v>
                </c:pt>
                <c:pt idx="13">
                  <c:v>1.9912359938199806</c:v>
                </c:pt>
                <c:pt idx="14">
                  <c:v>1.1523685307345046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5-4153-AB32-A387E6C8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98120"/>
        <c:axId val="147197336"/>
      </c:lineChart>
      <c:catAx>
        <c:axId val="83681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836811904"/>
        <c:crosses val="autoZero"/>
        <c:auto val="1"/>
        <c:lblAlgn val="ctr"/>
        <c:lblOffset val="100"/>
        <c:noMultiLvlLbl val="0"/>
      </c:catAx>
      <c:valAx>
        <c:axId val="83681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836810728"/>
        <c:crosses val="autoZero"/>
        <c:crossBetween val="between"/>
      </c:valAx>
      <c:valAx>
        <c:axId val="1471973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47198120"/>
        <c:crosses val="max"/>
        <c:crossBetween val="between"/>
      </c:valAx>
      <c:catAx>
        <c:axId val="147198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7197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218963831867057E-2"/>
          <c:y val="0.89127906142879676"/>
          <c:w val="0.9"/>
          <c:h val="7.6844800137687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/>
              <a:t>Primas</a:t>
            </a:r>
            <a:r>
              <a:rPr lang="es-HN" baseline="0"/>
              <a:t> Suscritas Vrs. Prima Catastrófico</a:t>
            </a:r>
            <a:endParaRPr lang="es-H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'RESUMEN PMD PAGADAS'!$N$42</c:f>
              <c:strCache>
                <c:ptCount val="1"/>
                <c:pt idx="0">
                  <c:v>Prima Neta Suscrita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63500" dist="12700" dir="5400000" sx="102000" sy="102000" rotWithShape="0">
                <a:srgbClr val="000000">
                  <a:alpha val="32000"/>
                </a:srgbClr>
              </a:outerShdw>
            </a:effectLst>
          </c:spPr>
          <c:invertIfNegative val="0"/>
          <c:cat>
            <c:numRef>
              <c:f>'RESUMEN PMD PAGADAS'!$M$43:$M$54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PMD PAGADAS'!$N$43:$N$54</c:f>
              <c:numCache>
                <c:formatCode>_-* #,##0.00\ _€_-;\-* #,##0.00\ _€_-;_-* "-"??\ _€_-;_-@_-</c:formatCode>
                <c:ptCount val="12"/>
                <c:pt idx="0">
                  <c:v>140392057.55000004</c:v>
                </c:pt>
                <c:pt idx="1">
                  <c:v>168296721.84999999</c:v>
                </c:pt>
                <c:pt idx="2">
                  <c:v>185942619.64999998</c:v>
                </c:pt>
                <c:pt idx="3">
                  <c:v>207803960.53</c:v>
                </c:pt>
                <c:pt idx="4">
                  <c:v>231425923.58999956</c:v>
                </c:pt>
                <c:pt idx="5">
                  <c:v>272010888.56907135</c:v>
                </c:pt>
                <c:pt idx="6">
                  <c:v>293791301.54140311</c:v>
                </c:pt>
                <c:pt idx="7">
                  <c:v>302228176.98833668</c:v>
                </c:pt>
                <c:pt idx="8">
                  <c:v>466714933.44608998</c:v>
                </c:pt>
                <c:pt idx="9">
                  <c:v>428339390.36000007</c:v>
                </c:pt>
                <c:pt idx="10">
                  <c:v>395726409.16000003</c:v>
                </c:pt>
                <c:pt idx="11">
                  <c:v>311689847.47664642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4-486E-A3A5-1F8FB13DA161}"/>
            </c:ext>
          </c:extLst>
        </c:ser>
        <c:ser>
          <c:idx val="1"/>
          <c:order val="1"/>
          <c:tx>
            <c:strRef>
              <c:f>'RESUMEN PMD PAGADAS'!$O$42</c:f>
              <c:strCache>
                <c:ptCount val="1"/>
                <c:pt idx="0">
                  <c:v>Prima del Contrato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90000"/>
                  </a:schemeClr>
                </a:gs>
                <a:gs pos="48000">
                  <a:schemeClr val="accent2">
                    <a:tint val="54000"/>
                    <a:satMod val="140000"/>
                  </a:schemeClr>
                </a:gs>
                <a:gs pos="100000">
                  <a:schemeClr val="accent2">
                    <a:tint val="24000"/>
                    <a:satMod val="26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63500" dist="12700" dir="5400000" sx="102000" sy="102000" rotWithShape="0">
                <a:srgbClr val="000000">
                  <a:alpha val="32000"/>
                </a:srgbClr>
              </a:outerShdw>
            </a:effectLst>
          </c:spPr>
          <c:invertIfNegative val="0"/>
          <c:cat>
            <c:numRef>
              <c:f>'RESUMEN PMD PAGADAS'!$M$43:$M$54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'RESUMEN PMD PAGADAS'!$O$43:$O$54</c:f>
              <c:numCache>
                <c:formatCode>_-* #,##0.00\ _€_-;\-* #,##0.00\ _€_-;_-* "-"??\ _€_-;_-@_-</c:formatCode>
                <c:ptCount val="12"/>
                <c:pt idx="0">
                  <c:v>375000</c:v>
                </c:pt>
                <c:pt idx="1">
                  <c:v>405000</c:v>
                </c:pt>
                <c:pt idx="2">
                  <c:v>435000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346800</c:v>
                </c:pt>
                <c:pt idx="7">
                  <c:v>260100</c:v>
                </c:pt>
                <c:pt idx="8">
                  <c:v>286620</c:v>
                </c:pt>
                <c:pt idx="9">
                  <c:v>369200</c:v>
                </c:pt>
                <c:pt idx="10">
                  <c:v>228625.83333333331</c:v>
                </c:pt>
                <c:pt idx="11">
                  <c:v>368154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4-486E-A3A5-1F8FB13D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193808"/>
        <c:axId val="147194200"/>
      </c:barChart>
      <c:catAx>
        <c:axId val="14719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47194200"/>
        <c:crosses val="autoZero"/>
        <c:auto val="1"/>
        <c:lblAlgn val="ctr"/>
        <c:lblOffset val="100"/>
        <c:noMultiLvlLbl val="0"/>
      </c:catAx>
      <c:valAx>
        <c:axId val="14719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4719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HN">
                <a:latin typeface="Arial Narrow" panose="020B0606020202030204" pitchFamily="34" charset="0"/>
              </a:rPr>
              <a:t>Costo</a:t>
            </a:r>
            <a:r>
              <a:rPr lang="es-HN" baseline="0">
                <a:latin typeface="Arial Narrow" panose="020B0606020202030204" pitchFamily="34" charset="0"/>
              </a:rPr>
              <a:t> Contratos Vida 2014 - 2025</a:t>
            </a:r>
            <a:endParaRPr lang="es-HN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8796896289603144"/>
          <c:y val="2.1645021645021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HN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8799505609836662"/>
          <c:y val="0.16257096512570965"/>
          <c:w val="0.71200495429874544"/>
          <c:h val="0.57427423844746683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'RESUMEN PMD PAGADAS'!$N$58</c:f>
              <c:strCache>
                <c:ptCount val="1"/>
                <c:pt idx="0">
                  <c:v>Prima Neta Suscrita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'RESUMEN PMD PAGADAS'!$M$59:$M$69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PMD PAGADAS'!$N$59:$N$69</c:f>
              <c:numCache>
                <c:formatCode>_-* #,##0.00\ _€_-;\-* #,##0.00\ _€_-;_-* "-"??\ _€_-;_-@_-</c:formatCode>
                <c:ptCount val="11"/>
                <c:pt idx="0">
                  <c:v>140392057.55000004</c:v>
                </c:pt>
                <c:pt idx="1">
                  <c:v>168296721.84999999</c:v>
                </c:pt>
                <c:pt idx="2">
                  <c:v>185942619.64999998</c:v>
                </c:pt>
                <c:pt idx="3">
                  <c:v>207803960.53</c:v>
                </c:pt>
                <c:pt idx="4">
                  <c:v>231425923.58999956</c:v>
                </c:pt>
                <c:pt idx="5">
                  <c:v>272010888.56907135</c:v>
                </c:pt>
                <c:pt idx="6">
                  <c:v>293791301.54140311</c:v>
                </c:pt>
                <c:pt idx="7">
                  <c:v>302228176.98833668</c:v>
                </c:pt>
                <c:pt idx="8">
                  <c:v>466714933.44608998</c:v>
                </c:pt>
                <c:pt idx="9">
                  <c:v>428339390.36000007</c:v>
                </c:pt>
                <c:pt idx="10">
                  <c:v>395726409.16000003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3-46BF-9FB1-08340FF9865C}"/>
            </c:ext>
          </c:extLst>
        </c:ser>
        <c:ser>
          <c:idx val="2"/>
          <c:order val="2"/>
          <c:tx>
            <c:strRef>
              <c:f>'RESUMEN PMD PAGADAS'!$O$58</c:f>
              <c:strCache>
                <c:ptCount val="1"/>
                <c:pt idx="0">
                  <c:v>Prima del Contrato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'RESUMEN PMD PAGADAS'!$M$59:$M$69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'RESUMEN PMD PAGADAS'!$O$59:$O$69</c:f>
              <c:numCache>
                <c:formatCode>_-* #,##0.00\ _€_-;\-* #,##0.00\ _€_-;_-* "-"??\ _€_-;_-@_-</c:formatCode>
                <c:ptCount val="11"/>
                <c:pt idx="0">
                  <c:v>8225462.6711089993</c:v>
                </c:pt>
                <c:pt idx="1">
                  <c:v>11142817.031640003</c:v>
                </c:pt>
                <c:pt idx="2">
                  <c:v>12249590.722825797</c:v>
                </c:pt>
                <c:pt idx="3">
                  <c:v>11584419.62479</c:v>
                </c:pt>
                <c:pt idx="4">
                  <c:v>21639584.282626852</c:v>
                </c:pt>
                <c:pt idx="5">
                  <c:v>21639584.282626852</c:v>
                </c:pt>
                <c:pt idx="6">
                  <c:v>23556312.821770847</c:v>
                </c:pt>
                <c:pt idx="7">
                  <c:v>26523728.580286458</c:v>
                </c:pt>
                <c:pt idx="8">
                  <c:v>43789617.499999963</c:v>
                </c:pt>
                <c:pt idx="9">
                  <c:v>25890745.612500012</c:v>
                </c:pt>
                <c:pt idx="10">
                  <c:v>23960248.570833329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3-46BF-9FB1-08340FF9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4459800"/>
        <c:axId val="62446372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'RESUMEN PMD PAGADAS'!$M$58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'RESUMEN PMD PAGADAS'!$M$59:$M$69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'RESUMEN PMD PAGADAS'!$M$59:$M$69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263-46BF-9FB1-08340FF9865C}"/>
                  </c:ext>
                </c:extLst>
              </c15:ser>
            </c15:filteredBarSeries>
          </c:ext>
        </c:extLst>
      </c:bar3DChart>
      <c:catAx>
        <c:axId val="624459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624463720"/>
        <c:crosses val="autoZero"/>
        <c:auto val="1"/>
        <c:lblAlgn val="ctr"/>
        <c:lblOffset val="100"/>
        <c:noMultiLvlLbl val="0"/>
      </c:catAx>
      <c:valAx>
        <c:axId val="62446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624459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$H$8" inc="10" max="30000" min="310" page="10" val="721"/>
</file>

<file path=xl/ctrlProps/ctrlProp2.xml><?xml version="1.0" encoding="utf-8"?>
<formControlPr xmlns="http://schemas.microsoft.com/office/spreadsheetml/2009/9/main" objectType="Spin" dx="22" fmlaLink="$J$11" inc="5" max="90" min="60" page="10" val="8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390525</xdr:colOff>
      <xdr:row>4</xdr:row>
      <xdr:rowOff>85725</xdr:rowOff>
    </xdr:from>
    <xdr:to>
      <xdr:col>13</xdr:col>
      <xdr:colOff>638175</xdr:colOff>
      <xdr:row>6</xdr:row>
      <xdr:rowOff>0</xdr:rowOff>
    </xdr:to>
    <xdr:cxnSp macro="">
      <xdr:nvCxnSpPr>
        <xdr:cNvPr id="2" name="2 Conector recto de flecha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 flipH="1" flipV="1">
          <a:off x="13287375" y="847725"/>
          <a:ext cx="0" cy="8667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</xdr:row>
      <xdr:rowOff>104775</xdr:rowOff>
    </xdr:from>
    <xdr:to>
      <xdr:col>14</xdr:col>
      <xdr:colOff>590550</xdr:colOff>
      <xdr:row>6</xdr:row>
      <xdr:rowOff>0</xdr:rowOff>
    </xdr:to>
    <xdr:cxnSp macro="">
      <xdr:nvCxnSpPr>
        <xdr:cNvPr id="3" name="5 Conector recto de flecha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 flipV="1">
          <a:off x="13287375" y="1057275"/>
          <a:ext cx="0" cy="895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327660</xdr:colOff>
          <xdr:row>7</xdr:row>
          <xdr:rowOff>0</xdr:rowOff>
        </xdr:from>
        <xdr:to>
          <xdr:col>9</xdr:col>
          <xdr:colOff>609600</xdr:colOff>
          <xdr:row>8</xdr:row>
          <xdr:rowOff>60960</xdr:rowOff>
        </xdr:to>
        <xdr:sp macro="" textlink="">
          <xdr:nvSpPr>
            <xdr:cNvPr id="4098" name="Spinne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1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9</xdr:row>
          <xdr:rowOff>106680</xdr:rowOff>
        </xdr:from>
        <xdr:to>
          <xdr:col>10</xdr:col>
          <xdr:colOff>335280</xdr:colOff>
          <xdr:row>11</xdr:row>
          <xdr:rowOff>30480</xdr:rowOff>
        </xdr:to>
        <xdr:sp macro="" textlink="">
          <xdr:nvSpPr>
            <xdr:cNvPr id="4099" name="Spinner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1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441959</xdr:colOff>
      <xdr:row>24</xdr:row>
      <xdr:rowOff>95249</xdr:rowOff>
    </xdr:from>
    <xdr:to>
      <xdr:col>24</xdr:col>
      <xdr:colOff>30479</xdr:colOff>
      <xdr:row>34</xdr:row>
      <xdr:rowOff>340994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480060</xdr:colOff>
      <xdr:row>3</xdr:row>
      <xdr:rowOff>320040</xdr:rowOff>
    </xdr:from>
    <xdr:to>
      <xdr:col>22</xdr:col>
      <xdr:colOff>746760</xdr:colOff>
      <xdr:row>17</xdr:row>
      <xdr:rowOff>60960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624840</xdr:colOff>
      <xdr:row>40</xdr:row>
      <xdr:rowOff>136207</xdr:rowOff>
    </xdr:from>
    <xdr:to>
      <xdr:col>23</xdr:col>
      <xdr:colOff>455295</xdr:colOff>
      <xdr:row>53</xdr:row>
      <xdr:rowOff>31432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114300</xdr:colOff>
      <xdr:row>57</xdr:row>
      <xdr:rowOff>22860</xdr:rowOff>
    </xdr:from>
    <xdr:to>
      <xdr:col>26</xdr:col>
      <xdr:colOff>746760</xdr:colOff>
      <xdr:row>72</xdr:row>
      <xdr:rowOff>167640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nchez\Documents\backup\backup\DEPARTAMENTO%20DE%20REASEGURO\CIERRES%20MENSUALES%20A&#209;O%202012%201\DICIEMBRE\EQUIDAD%20formato%20Ajuste%20WCXL%20VIDA%202012%20PATRIA%2025%25%2022.02.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IERRES%20A&#209;O%202024/JULIO/EQUIDAD%20C&#225;lculo%20Ajuste%20Preliminar%20WCXL%20VIDA%202024%20A%20JULIO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nchez\Documents\backup\backup\DEPARTAMENTO%20DE%20REASEGURO\CIERRES%20MENSUALES%20A&#209;O%202014\DICIEMBRE\EQUIDAD%20formato%20Ajuste%20WCXL%20VIDA%202014%2008012015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nchez\Documents\Backup\Reaseguro%20compartida\INFORMACI&#211;N%20RENOVACI&#211;N%20CONTRATOS%20VIDA%20A&#209;O%202019\EQUIDAD%20INFORMACION%20PROGRAMA%20REASEGURO%20DE%20VIDA%202019%20final%20311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11;N%20RENOVACI&#211;N%20CONTRATOS%20VIDA%20A&#209;O%202020/INFORMACI&#211;N%20REVISADA/EQUIDAD%20INFORMACION%20PROGRAMA%20REASEGURO%20DE%20VIDA%202020%20FINAL%201311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  <sheetName val="00_Consulta_CEI"/>
      <sheetName val="CONSULTA"/>
      <sheetName val="ITCER2001"/>
      <sheetName val="Data"/>
      <sheetName val="ER"/>
      <sheetName val="WB"/>
      <sheetName val="Summary_BOP"/>
      <sheetName val="FIN"/>
      <sheetName val="Posicion Inversion Internac.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con Tasa Fija"/>
      <sheetName val="SINIESTROS PAGADOS"/>
      <sheetName val="SINIESTROS PENDIENTES DE PAGO"/>
    </sheetNames>
    <sheetDataSet>
      <sheetData sheetId="0">
        <row r="39">
          <cell r="B39" t="str">
            <v>Tegucigalpa, M.D.C., 22 de Febrero, 2013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con Factor de Ajuste"/>
      <sheetName val="E.C."/>
      <sheetName val="SINIESTROS PAGADOS"/>
      <sheetName val="SINIESTROS PENDIENTES DE PAGO"/>
      <sheetName val="TRANSFERENCIAS RECIBIDAS"/>
      <sheetName val="Control Agotamiento LAA"/>
      <sheetName val="Cálculos varios"/>
    </sheetNames>
    <sheetDataSet>
      <sheetData sheetId="0">
        <row r="15">
          <cell r="B15">
            <v>14125682.370000003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con Tasa Fija"/>
      <sheetName val="SINIESTROS PAGADOS"/>
      <sheetName val="SINIESTROS PENDIENTES DE PAGO"/>
      <sheetName val="Ing.xOficinas"/>
    </sheetNames>
    <sheetDataSet>
      <sheetData sheetId="0">
        <row r="25">
          <cell r="B25">
            <v>1887748.6711089993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ESPECÍFICA"/>
      <sheetName val="EXPUESTOS"/>
      <sheetName val="REPORTES ADICIONALES"/>
      <sheetName val="SINIESTROS formato 1"/>
      <sheetName val="COMPARATIVO"/>
    </sheetNames>
    <sheetDataSet>
      <sheetData sheetId="0" refreshError="1"/>
      <sheetData sheetId="1" refreshError="1"/>
      <sheetData sheetId="2">
        <row r="29">
          <cell r="B29">
            <v>168296721.84999999</v>
          </cell>
          <cell r="C29">
            <v>185942619.64999998</v>
          </cell>
          <cell r="D29">
            <v>207803960.53</v>
          </cell>
        </row>
      </sheetData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ESPECIFICA"/>
      <sheetName val="EXPUESTOS"/>
      <sheetName val="REPORTES ADICIONALES"/>
      <sheetName val="SINIESTROS Formato 1"/>
    </sheetNames>
    <sheetDataSet>
      <sheetData sheetId="0"/>
      <sheetData sheetId="1"/>
      <sheetData sheetId="2">
        <row r="29">
          <cell r="G29">
            <v>293791301.54140311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vy Orbelina Sanchez Salgado" refreshedDate="44388.526995486114" createdVersion="5" refreshedVersion="5" minRefreshableVersion="3" recordCount="146" xr:uid="{00000000-000A-0000-FFFF-FFFF05000000}">
  <cacheSource type="worksheet">
    <worksheetSource ref="A9:M155" sheet="SINIESTROS AÑO 2013"/>
  </cacheSource>
  <cacheFields count="13">
    <cacheField name="Número de Siniestro" numFmtId="0">
      <sharedItems/>
    </cacheField>
    <cacheField name="Plan Afectado" numFmtId="0">
      <sharedItems/>
    </cacheField>
    <cacheField name="Nombre del Asegurado" numFmtId="0">
      <sharedItems count="66">
        <s v="ADALJITZA VELASQUEZ"/>
        <s v="ALEXIS RAFAEL MEDINA AYUELA"/>
        <s v="ALIS WILMER MARTINEZ MERCADO"/>
        <s v="ANA JESSEL OLIVERA CACERES"/>
        <s v="ANA JULIA MONTENEGRO FLORES"/>
        <s v="ANDRES ANTONIO ALVARADO ZAVALA"/>
        <s v="CARLOS ALFREDO FUNEZ RIVERA"/>
        <s v="CASTO ENRIQUE RODRIGUEZ"/>
        <s v="CELINA TRINIDAD MARIN"/>
        <s v="CLEMENTE GOMEZ MARTINEZ"/>
        <s v="DARLING SHAMIR MONTERO VILLANUEVA"/>
        <s v="DENNIS ALBERTO PEREZ ECHEVARRIA"/>
        <s v="DIMAS PINEDA CACERES"/>
        <s v="EDITH NOHEMI NUÑEZ"/>
        <s v="EDUARDO BANEGAS MUNGIA"/>
        <s v="ELIA ROSA RIOS MONTES"/>
        <s v="ELSA CORINA SALGADO"/>
        <s v="ERICK ALEXANDER PALMA ALVARADO"/>
        <s v="FELICIANO TURCIOS RAMIREZ"/>
        <s v="GLENDA ESPERANZA DIAZ REYES"/>
        <s v="HECTOR ANTONIO MARTINEZ CARCAMO"/>
        <s v="HECTOR MANUEL SANTOS"/>
        <s v="ISIS GEORGINA MEJIA DIAZ"/>
        <s v="IVAN JESUS RENDON PORTALES"/>
        <s v="JAVIER ADOLFO SEGURA MARTINEZ"/>
        <s v="JAVIER EDGARDO MORAN ESPINOZA"/>
        <s v="JESUS HERNAN FLORES MALDONADO"/>
        <s v="JOAQUIN SANTOS ARITA"/>
        <s v="JORGE ALBERTO ALVARADO ALVARADO"/>
        <s v="JORGE ALBERTO ORTIZ VASQUEZ"/>
        <s v="JORGE ANTONIO RAPALO"/>
        <s v="JOSE ANTONIO BENITEZ MALDONADO"/>
        <s v="JOSE ARMANDO ANDINO"/>
        <s v="JOSE BAUDILIO PINEDA CASTELLANOS"/>
        <s v="JOSE DANILO ORDOÑEZ RODRIGUEZ "/>
        <s v="JOSE FELIPE PINEDA FUENTES"/>
        <s v="JOSE ROSIBEL VIDES"/>
        <s v="JOSE WILFREDO SOLIS ESCOBAR"/>
        <s v="JUAN ANTONIO MIRANDA GARCIA"/>
        <s v="JUAN DE DIOS BENITEZ"/>
        <s v="JULIO CESAR LEIVA ULLOA"/>
        <s v="LEONARDA HERNANDEZ"/>
        <s v="LEONEL DAGOBERTO VALLADARES ASSENCIO"/>
        <s v="LOURDES JOSELINA BARAHONA ZUNIGA"/>
        <s v="LUIS ALONSO ZELAYA DAVILA"/>
        <s v="MANUEL DE JESUS MENDOZA TURCIOS"/>
        <s v="MARCIANA AMADOR SANCHEZ"/>
        <s v="MARCO ANTONIO GIRON PERATO"/>
        <s v="MARIA GABRIELA HERRERA GOMEZ"/>
        <s v="MARIA ILZA RODRIGUEZ ORDOÑEZ"/>
        <s v="MARLON GIRABEL MORENO"/>
        <s v="MARTA ESPERANZA GARCIA RODRIGUEZ"/>
        <s v="MIGUEL ANGEL PORTILLO GALDAMEZ"/>
        <s v="MOISES ALDANA"/>
        <s v="NINFA LISETH ERAZO"/>
        <s v="ORLIN ALFREDO PADILLA COREA"/>
        <s v="PEDRO ANTONIO CUEVA MORALES"/>
        <s v="RUMILDA SANTOS"/>
        <s v="SANTOS LARA ZELAYA"/>
        <s v="SANTOS PAULO AMADOR FLORES"/>
        <s v="SAUL GIRON"/>
        <s v="SERVANDO ALVARADO"/>
        <s v="TEODORO CRUZ PERDOMO"/>
        <s v="VILMA RAFAELA VIERA HERNANDEZ"/>
        <s v="WENDY SUYAPA NORALES GAMBOA"/>
        <s v="YONI FERNANDO SARMIENTO GIRON"/>
      </sharedItems>
    </cacheField>
    <cacheField name="Causa del siniestro" numFmtId="0">
      <sharedItems/>
    </cacheField>
    <cacheField name="Cobertura afectada" numFmtId="0">
      <sharedItems/>
    </cacheField>
    <cacheField name="Fecha del siniestro" numFmtId="14">
      <sharedItems containsSemiMixedTypes="0" containsNonDate="0" containsDate="1" containsString="0" minDate="2013-01-03T00:00:00" maxDate="2013-12-25T00:00:00"/>
    </cacheField>
    <cacheField name="Fecha de aviso" numFmtId="14">
      <sharedItems containsSemiMixedTypes="0" containsNonDate="0" containsDate="1" containsString="0" minDate="2013-02-14T00:00:00" maxDate="2016-03-04T00:00:00"/>
    </cacheField>
    <cacheField name="Fecha de pago" numFmtId="14">
      <sharedItems containsSemiMixedTypes="0" containsNonDate="0" containsDate="1" containsString="0" minDate="2013-02-19T00:00:00" maxDate="2016-03-18T00:00:00"/>
    </cacheField>
    <cacheField name="Monto pagado por Plan" numFmtId="168">
      <sharedItems containsSemiMixedTypes="0" containsString="0" containsNumber="1" minValue="535.78" maxValue="2422160.66"/>
    </cacheField>
    <cacheField name="Monto Total Pagado" numFmtId="0">
      <sharedItems containsString="0" containsBlank="1" containsNumber="1" minValue="196453.15" maxValue="2422160.66"/>
    </cacheField>
    <cacheField name="Prioridad" numFmtId="0">
      <sharedItems containsString="0" containsBlank="1" containsNumber="1" containsInteger="1" minValue="190300" maxValue="190300"/>
    </cacheField>
    <cacheField name="A/C Reaseguro" numFmtId="0">
      <sharedItems containsString="0" containsBlank="1" containsNumber="1" minValue="6153.1499999999942" maxValue="2231860.66"/>
    </cacheField>
    <cacheField name="Observaciones" numFmtId="167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vy Orbelina Sanchez Salgado" refreshedDate="44777.338473263888" createdVersion="5" refreshedVersion="8" minRefreshableVersion="3" recordCount="153" xr:uid="{00000000-000A-0000-FFFF-FFFF06000000}">
  <cacheSource type="worksheet">
    <worksheetSource ref="A8:L163" sheet="SINIESTROS 2020"/>
  </cacheSource>
  <cacheFields count="12">
    <cacheField name="Número de Siniestro" numFmtId="0">
      <sharedItems/>
    </cacheField>
    <cacheField name="Plan Afectado" numFmtId="0">
      <sharedItems/>
    </cacheField>
    <cacheField name="Nombre del Asegurado" numFmtId="0">
      <sharedItems/>
    </cacheField>
    <cacheField name="Causa del siniestro" numFmtId="4">
      <sharedItems count="30">
        <s v="INSUFICIENCIA RENAL AGUDA BILATERAL"/>
        <s v="PARO CARDIO RESPIRATORIO"/>
        <s v="CIRVOSIS HEPATICA MAS HIPERTENSIÓN PORTAL"/>
        <s v="HIPERTENSIÓN ARTERIAL"/>
        <s v="NEUMONIA ATIPICA AGUDA POR COVID-19"/>
        <s v="DIABETES MELLITUS TIPO II + HIPERTENSION ARTERIAL"/>
        <s v="COVID-19"/>
        <s v="NEUMONIA GRAVE POR SARS COV-2 + PARO CARDIACO"/>
        <s v="DIABETES MELLITUS TIPO II"/>
        <s v="NEUMONIA POR COVID-19"/>
        <s v="NEUMONIA SARS COV19"/>
        <s v="NEUMONIA ATIPICA SEVERA POR SARS COV-2"/>
        <s v="CANCER GASTRICO"/>
        <s v="NEUMONIA HOSPITALARIA"/>
        <s v="DM2 - HIPOGLICEMIA + HIPERTENSIÓN ARTERIAL"/>
        <s v="NEUMONIA ATIPICA POR COVID-19"/>
        <s v="HOMICIDIO"/>
        <s v="INFARTO AGUDO DEL MIOCARDIO"/>
        <s v="ACCIDENTE"/>
        <s v="NEUMONIA POR BRONCO ASPIRACIÓN"/>
        <s v="CIRROSIS"/>
        <s v="CIRROSIS CHILD PUG"/>
        <s v="SOSPECHA NEUMONIA POR COVID-19"/>
        <s v="CANCER DE PANCREAS METASTASICO"/>
        <s v="NEUMONIA BILATERAL ATIPICA POR COVID-19"/>
        <s v="CARDIOPATIA ISQUEMICA"/>
        <s v="SOSPECHA DE COVID-19"/>
        <s v="CANCER UTERINO EN ESTADO TERMINAL"/>
        <s v="LEUCEMIA LINFOBLASTICA CRONICA"/>
        <s v="HIPERTENSIÓN ARTERIAL " u="1"/>
      </sharedItems>
    </cacheField>
    <cacheField name="Cobertura afectada" numFmtId="4">
      <sharedItems/>
    </cacheField>
    <cacheField name="Fecha del siniestro" numFmtId="14">
      <sharedItems containsSemiMixedTypes="0" containsNonDate="0" containsDate="1" containsString="0" minDate="2020-01-03T00:00:00" maxDate="2020-12-31T00:00:00"/>
    </cacheField>
    <cacheField name="Fecha de aviso" numFmtId="14">
      <sharedItems containsSemiMixedTypes="0" containsNonDate="0" containsDate="1" containsString="0" minDate="2020-02-05T00:00:00" maxDate="2022-02-12T00:00:00"/>
    </cacheField>
    <cacheField name="Fecha de pago" numFmtId="14">
      <sharedItems containsNonDate="0" containsDate="1" containsString="0" containsBlank="1" minDate="2020-02-06T00:00:00" maxDate="2022-03-31T00:00:00"/>
    </cacheField>
    <cacheField name="Monto pagado por Plan" numFmtId="167">
      <sharedItems containsSemiMixedTypes="0" containsString="0" containsNumber="1" minValue="2040.94" maxValue="1853079.76"/>
    </cacheField>
    <cacheField name="Monto Total Pagado" numFmtId="167">
      <sharedItems containsString="0" containsBlank="1" containsNumber="1" minValue="724996.04" maxValue="3111500"/>
    </cacheField>
    <cacheField name="Prioridad" numFmtId="0">
      <sharedItems containsString="0" containsBlank="1" containsNumber="1" containsInteger="1" minValue="721704" maxValue="721704"/>
    </cacheField>
    <cacheField name="A/C Reaseguro" numFmtId="0">
      <sharedItems containsString="0" containsBlank="1" containsNumber="1" minValue="3292.0400000000373" maxValue="23897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vy Orbelina Sanchez Salgado" refreshedDate="44803.640010069445" createdVersion="5" refreshedVersion="8" minRefreshableVersion="3" recordCount="19" xr:uid="{00000000-000A-0000-FFFF-FFFF07000000}">
  <cacheSource type="worksheet">
    <worksheetSource ref="A8:L27" sheet="SINIESTROS 2021"/>
  </cacheSource>
  <cacheFields count="12">
    <cacheField name="Número de Siniestro" numFmtId="1">
      <sharedItems/>
    </cacheField>
    <cacheField name="Plan Afectado" numFmtId="4">
      <sharedItems/>
    </cacheField>
    <cacheField name="Nombre del Asegurado" numFmtId="0">
      <sharedItems/>
    </cacheField>
    <cacheField name="Causa del siniestro" numFmtId="0">
      <sharedItems count="10">
        <s v="NEUMONIA POR COVID-19"/>
        <s v="NEUMONIA POR COVID 19"/>
        <s v="HEMORRAGIA CEREBRAL INTRAENCEFFALICA"/>
        <s v="COVID-19"/>
        <s v="NEUMONIA BILATERAL POR COVID-19"/>
        <s v="CANCER PELVICO"/>
        <s v="NEUMONIA GRAVE POR SARS COV-2"/>
        <s v="NEUMONIA GRAVE POR SARS-COV2"/>
        <s v="HIPERTENSIÓN ARTERIAL" u="1"/>
        <s v="HOMICIDIO" u="1"/>
      </sharedItems>
    </cacheField>
    <cacheField name="Cobertura afectada" numFmtId="4">
      <sharedItems/>
    </cacheField>
    <cacheField name="Fecha del siniestro" numFmtId="170">
      <sharedItems containsSemiMixedTypes="0" containsNonDate="0" containsDate="1" containsString="0" minDate="2021-01-17T00:00:00" maxDate="2021-08-19T00:00:00"/>
    </cacheField>
    <cacheField name="Fecha de aviso" numFmtId="170">
      <sharedItems containsSemiMixedTypes="0" containsNonDate="0" containsDate="1" containsString="0" minDate="2021-02-01T00:00:00" maxDate="2021-09-21T00:00:00"/>
    </cacheField>
    <cacheField name="Fecha de pago" numFmtId="170">
      <sharedItems containsSemiMixedTypes="0" containsNonDate="0" containsDate="1" containsString="0" minDate="2021-04-27T00:00:00" maxDate="2021-12-29T00:00:00"/>
    </cacheField>
    <cacheField name="Monto pagado por Plan" numFmtId="167">
      <sharedItems containsSemiMixedTypes="0" containsString="0" containsNumber="1" minValue="20000" maxValue="2010000"/>
    </cacheField>
    <cacheField name="Monto Total Pagado" numFmtId="167">
      <sharedItems containsString="0" containsBlank="1" containsNumber="1" minValue="782080.44" maxValue="2552500"/>
    </cacheField>
    <cacheField name="Prioridad" numFmtId="167">
      <sharedItems containsString="0" containsBlank="1" containsNumber="1" containsInteger="1" minValue="721704" maxValue="721704"/>
    </cacheField>
    <cacheField name="A/C Reaseguro" numFmtId="167">
      <sharedItems containsString="0" containsBlank="1" containsNumber="1" minValue="60376.439999999944" maxValue="18307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s v="R-CV-574-01-2014"/>
    <s v="AHORRO"/>
    <x v="0"/>
    <s v="SEPSIS ABDOMINAL"/>
    <s v="MUERTE"/>
    <d v="2013-12-11T00:00:00"/>
    <d v="2014-01-15T00:00:00"/>
    <d v="2014-01-24T00:00:00"/>
    <n v="55000"/>
    <m/>
    <m/>
    <m/>
    <m/>
  </r>
  <r>
    <s v="R-CV-780-01-2014"/>
    <s v="PRÉSTAMO"/>
    <x v="0"/>
    <s v="SEPSIS ABDOMINAL"/>
    <s v="MUERTE"/>
    <d v="2013-12-11T00:00:00"/>
    <d v="2014-01-20T00:00:00"/>
    <d v="2014-02-24T00:00:00"/>
    <n v="542676.01"/>
    <n v="597676.01"/>
    <n v="190300"/>
    <n v="407376.01"/>
    <m/>
  </r>
  <r>
    <s v="R-CV-443-10-2013"/>
    <s v="AHORRO PINOS DE ORO"/>
    <x v="1"/>
    <s v="ACCIDENTE DE TRANSITO"/>
    <s v="MUERTE ACCIDENTAL"/>
    <d v="2013-07-27T00:00:00"/>
    <d v="2013-10-24T00:00:00"/>
    <d v="2013-11-05T00:00:00"/>
    <n v="402625.76"/>
    <m/>
    <m/>
    <m/>
    <m/>
  </r>
  <r>
    <s v="R-CV-672-10-2013"/>
    <s v="PRÉSTAMO"/>
    <x v="1"/>
    <s v="ACCIDENTE DE TRANSITO"/>
    <s v="MUERTE ACCIDENTAL"/>
    <d v="2013-07-27T00:00:00"/>
    <d v="2013-10-24T00:00:00"/>
    <d v="2013-11-05T00:00:00"/>
    <n v="500000"/>
    <n v="902625.76"/>
    <n v="190300"/>
    <n v="712325.76"/>
    <m/>
  </r>
  <r>
    <s v="R-CV-815-02-2014"/>
    <s v="PRÉSTAMO"/>
    <x v="2"/>
    <s v="INFARTO AL MIOCARDIO"/>
    <s v="MUERTE"/>
    <d v="2013-12-11T00:00:00"/>
    <d v="2014-02-13T00:00:00"/>
    <d v="2014-02-25T00:00:00"/>
    <n v="480000"/>
    <n v="480000"/>
    <n v="190300"/>
    <n v="289700"/>
    <m/>
  </r>
  <r>
    <s v="R-CV-819-02-2014"/>
    <s v="PRÉSTAMO"/>
    <x v="3"/>
    <s v="DENGUE HEMORRAGICO"/>
    <s v="MUERTE"/>
    <d v="2013-09-20T00:00:00"/>
    <d v="2014-02-19T00:00:00"/>
    <d v="2014-02-24T00:00:00"/>
    <n v="268197.03000000003"/>
    <m/>
    <m/>
    <m/>
    <m/>
  </r>
  <r>
    <s v="R-CV-847-03-2014"/>
    <s v="PRÉSTAMO"/>
    <x v="3"/>
    <s v="DENGUE HEMORRAGICO"/>
    <s v="MUERTE"/>
    <d v="2013-09-20T00:00:00"/>
    <d v="2014-03-14T00:00:00"/>
    <d v="2014-03-26T00:00:00"/>
    <n v="29000"/>
    <n v="297197.03000000003"/>
    <n v="190300"/>
    <n v="106897.03000000003"/>
    <m/>
  </r>
  <r>
    <s v="R-CV-274-02-2013"/>
    <s v="AHORRO"/>
    <x v="4"/>
    <s v="EVENTO CEREBROVASCULAR HEMORRAGICO"/>
    <s v="MUERTE"/>
    <d v="2013-01-13T00:00:00"/>
    <d v="2013-02-19T00:00:00"/>
    <d v="2013-02-21T00:00:00"/>
    <n v="97918.29"/>
    <m/>
    <m/>
    <m/>
    <m/>
  </r>
  <r>
    <s v="R-CV-336-02-2013"/>
    <s v="PRÉSTAMO"/>
    <x v="4"/>
    <s v="EVENTO CEREBROVASCULAR HEMORRAGICO"/>
    <s v="MUERTE"/>
    <d v="2013-01-13T00:00:00"/>
    <d v="2013-02-19T00:00:00"/>
    <d v="2013-02-21T00:00:00"/>
    <n v="290842.71999999997"/>
    <n v="388761.00999999995"/>
    <n v="190300"/>
    <n v="198461.00999999995"/>
    <m/>
  </r>
  <r>
    <s v="R-CV-15-05-2013"/>
    <s v="SALDO DE DEUDA"/>
    <x v="5"/>
    <s v="HOMICIDIO"/>
    <s v="MUERTE"/>
    <d v="2013-02-04T00:00:00"/>
    <d v="2013-05-09T00:00:00"/>
    <d v="2013-05-13T00:00:00"/>
    <n v="325000"/>
    <m/>
    <m/>
    <m/>
    <m/>
  </r>
  <r>
    <s v="R-CV-412-04-2013"/>
    <s v="PRÉSTAMO"/>
    <x v="5"/>
    <s v="HOMICIDIO"/>
    <s v="MUERTE"/>
    <d v="2013-02-04T00:00:00"/>
    <d v="2013-04-25T00:00:00"/>
    <d v="2013-04-26T00:00:00"/>
    <n v="75000"/>
    <m/>
    <m/>
    <m/>
    <m/>
  </r>
  <r>
    <s v="R-CV-328-04-2013"/>
    <s v="AHORRO"/>
    <x v="5"/>
    <s v="HOMICIDIO"/>
    <s v="MUERTE"/>
    <d v="2013-02-04T00:00:00"/>
    <d v="2013-04-25T00:00:00"/>
    <d v="2013-04-26T00:00:00"/>
    <n v="29100"/>
    <n v="429100"/>
    <n v="190300"/>
    <n v="238800"/>
    <m/>
  </r>
  <r>
    <s v="R-CV-542-12-2013"/>
    <s v="AHORRO"/>
    <x v="6"/>
    <s v="CHOQUE SEPTICO"/>
    <s v="MUERTE"/>
    <d v="2013-11-25T00:00:00"/>
    <d v="2013-12-11T00:00:00"/>
    <d v="2013-12-12T00:00:00"/>
    <n v="103000"/>
    <m/>
    <m/>
    <m/>
    <m/>
  </r>
  <r>
    <s v="R-CV-740-12-2013"/>
    <s v="PRÉSTAMO"/>
    <x v="6"/>
    <s v="CHOQUE SEPTICO"/>
    <s v="MUERTE"/>
    <d v="2013-11-25T00:00:00"/>
    <d v="2013-12-11T00:00:00"/>
    <d v="2013-12-12T00:00:00"/>
    <n v="589725.66"/>
    <n v="692725.66"/>
    <n v="190300"/>
    <n v="502425.66000000003"/>
    <m/>
  </r>
  <r>
    <s v="R-CV-512-07-2013"/>
    <s v="PRÉSTAMO"/>
    <x v="7"/>
    <s v="HOMICIDIO"/>
    <s v="MUERTE"/>
    <d v="2013-05-01T00:00:00"/>
    <d v="2013-07-09T00:00:00"/>
    <d v="2013-07-12T00:00:00"/>
    <n v="302616.7"/>
    <m/>
    <m/>
    <m/>
    <m/>
  </r>
  <r>
    <s v="R-CV-290-06-2013"/>
    <s v="AHORRO PINOS DE ORO"/>
    <x v="7"/>
    <s v="HOMICIDIO"/>
    <s v="MUERTE"/>
    <d v="2013-05-01T00:00:00"/>
    <d v="2013-06-07T00:00:00"/>
    <d v="2013-06-12T00:00:00"/>
    <n v="12675.83"/>
    <m/>
    <m/>
    <m/>
    <m/>
  </r>
  <r>
    <s v="R-CV-463-06-2013"/>
    <s v="PRÉSTAMO"/>
    <x v="7"/>
    <s v="HOMICIDIO"/>
    <s v="MUERTE"/>
    <d v="2013-05-01T00:00:00"/>
    <d v="2013-06-07T00:00:00"/>
    <d v="2013-06-12T00:00:00"/>
    <n v="30555.54"/>
    <m/>
    <m/>
    <m/>
    <m/>
  </r>
  <r>
    <s v="AF-020/2013"/>
    <s v="AMPARO FUNEBRE "/>
    <x v="7"/>
    <s v="HOMICIDIO"/>
    <s v="MUERTE"/>
    <d v="2013-05-01T00:00:00"/>
    <d v="2013-06-07T00:00:00"/>
    <d v="2013-06-12T00:00:00"/>
    <n v="5000"/>
    <m/>
    <m/>
    <m/>
    <m/>
  </r>
  <r>
    <s v="AF-021/2013"/>
    <s v="AMPARO FUNEBRE "/>
    <x v="7"/>
    <s v="HOMICIDIO"/>
    <s v="MUERTE"/>
    <d v="2013-05-01T00:00:00"/>
    <d v="2013-06-07T00:00:00"/>
    <d v="2013-06-12T00:00:00"/>
    <n v="5000"/>
    <n v="355848.07"/>
    <n v="190300"/>
    <n v="165548.07"/>
    <m/>
  </r>
  <r>
    <s v="R-CV-479-11-2013"/>
    <s v="AHORRO PINOS DE ORO"/>
    <x v="8"/>
    <s v="CANCER GASTRICO"/>
    <s v="MUERTE "/>
    <d v="2013-09-14T00:00:00"/>
    <d v="2013-11-25T00:00:00"/>
    <d v="2013-11-26T00:00:00"/>
    <n v="190314.77"/>
    <m/>
    <m/>
    <m/>
    <m/>
  </r>
  <r>
    <s v="R-CV-712-11-2013"/>
    <s v="PRÉSTAMO"/>
    <x v="8"/>
    <s v="CANCER GASTRICO"/>
    <s v="MUERTE"/>
    <d v="2013-09-14T00:00:00"/>
    <d v="2013-11-25T00:00:00"/>
    <d v="2013-11-26T00:00:00"/>
    <n v="21040.84"/>
    <n v="211355.61"/>
    <n v="190300"/>
    <n v="21055.609999999986"/>
    <m/>
  </r>
  <r>
    <s v="R-CV-333-02-2013"/>
    <s v="PRÉSTAMO"/>
    <x v="9"/>
    <s v="PARO CARDIO RESPIRATORIO"/>
    <s v="MUERTE"/>
    <d v="2013-01-16T00:00:00"/>
    <d v="2013-02-18T00:00:00"/>
    <d v="2013-02-19T00:00:00"/>
    <n v="200000"/>
    <m/>
    <m/>
    <m/>
    <m/>
  </r>
  <r>
    <s v="R-CV-272-02-2013"/>
    <s v="AHORRO"/>
    <x v="9"/>
    <s v="PARO CARDIO RESPIRATORIO"/>
    <s v="MUERTE"/>
    <d v="2013-01-16T00:00:00"/>
    <d v="2013-02-18T00:00:00"/>
    <d v="2013-02-19T00:00:00"/>
    <n v="53000"/>
    <n v="253000"/>
    <n v="190300"/>
    <n v="62700"/>
    <m/>
  </r>
  <r>
    <s v="R-CV-603-09-2013"/>
    <s v="PRÉSTAMO"/>
    <x v="10"/>
    <s v="HOMICIDIO"/>
    <s v="MUERTE"/>
    <d v="2013-07-22T00:00:00"/>
    <d v="2013-09-04T00:00:00"/>
    <d v="2013-09-10T00:00:00"/>
    <n v="239355.24"/>
    <n v="239355.24"/>
    <n v="190300"/>
    <n v="49055.239999999991"/>
    <m/>
  </r>
  <r>
    <s v="R-CV-442-08-2013"/>
    <s v="AHORRO"/>
    <x v="11"/>
    <s v="HOMICIDIO"/>
    <s v="MUERTE"/>
    <d v="2013-06-11T00:00:00"/>
    <d v="2013-08-20T00:00:00"/>
    <d v="2013-08-21T00:00:00"/>
    <n v="13249.47"/>
    <m/>
    <m/>
    <m/>
    <m/>
  </r>
  <r>
    <s v="R-CV-581-08-2013"/>
    <s v="PRÉSTAMO"/>
    <x v="11"/>
    <s v="HOMICIDIO"/>
    <s v="MUERTE"/>
    <d v="2013-06-11T00:00:00"/>
    <d v="2013-08-20T00:00:00"/>
    <d v="2013-08-21T00:00:00"/>
    <n v="119504.87"/>
    <m/>
    <m/>
    <m/>
    <m/>
  </r>
  <r>
    <s v="R-CV-589-08-2013"/>
    <s v="PRÉSTAMO"/>
    <x v="11"/>
    <s v="HOMICIDIO"/>
    <s v="MUERTE"/>
    <d v="2013-06-11T00:00:00"/>
    <d v="2013-08-27T00:00:00"/>
    <d v="2013-08-28T00:00:00"/>
    <n v="134767.16"/>
    <n v="267521.5"/>
    <n v="190300"/>
    <n v="77221.5"/>
    <m/>
  </r>
  <r>
    <s v="R-CV-548-12-2013"/>
    <s v="AHORRO"/>
    <x v="12"/>
    <s v="DIABETES MELLITUS TIPO II"/>
    <s v="MUERTE"/>
    <d v="2013-11-08T00:00:00"/>
    <d v="2013-12-13T00:00:00"/>
    <d v="2013-12-16T00:00:00"/>
    <n v="54292.77"/>
    <m/>
    <m/>
    <m/>
    <m/>
  </r>
  <r>
    <s v="R-CV-749-12-2013"/>
    <s v="PRÉSTAMO"/>
    <x v="12"/>
    <s v="DIABETES MELLITUS TIPO II"/>
    <s v="MUERTE"/>
    <d v="2013-11-08T00:00:00"/>
    <d v="2013-12-13T00:00:00"/>
    <d v="2013-12-16T00:00:00"/>
    <n v="181514.87"/>
    <n v="235807.63999999998"/>
    <n v="190300"/>
    <n v="45507.639999999985"/>
    <m/>
  </r>
  <r>
    <s v="R-CV-647-10-2013"/>
    <s v="PRÉSTAMO"/>
    <x v="13"/>
    <s v="HOMICIDIO"/>
    <s v="MUERTE"/>
    <d v="2013-07-31T00:00:00"/>
    <d v="2013-10-08T00:00:00"/>
    <d v="2013-11-13T00:00:00"/>
    <n v="2422160.66"/>
    <n v="2422160.66"/>
    <n v="190300"/>
    <n v="2231860.66"/>
    <m/>
  </r>
  <r>
    <s v="R-CV-361-08-2013"/>
    <s v="AHORRO PINOS DE ORO"/>
    <x v="14"/>
    <s v="HOMICIDIO"/>
    <s v="MUERTE"/>
    <d v="2013-06-03T00:00:00"/>
    <d v="2013-08-02T00:00:00"/>
    <d v="2013-09-05T00:00:00"/>
    <n v="14417.08"/>
    <m/>
    <m/>
    <m/>
    <m/>
  </r>
  <r>
    <s v="R-CV-556-08-2013"/>
    <s v="PRÉSTAMO"/>
    <x v="14"/>
    <s v="HOMICIDIO"/>
    <s v="MUERTE"/>
    <d v="2013-06-03T00:00:00"/>
    <d v="2013-08-02T00:00:00"/>
    <d v="2013-09-05T00:00:00"/>
    <n v="187342.92"/>
    <n v="201760"/>
    <n v="190300"/>
    <n v="11460"/>
    <m/>
  </r>
  <r>
    <s v="R-CV-276-02-2013"/>
    <s v="AHORRO"/>
    <x v="15"/>
    <s v="PARO CARDIO RESPIRATORIO"/>
    <s v="MUERTE"/>
    <d v="2013-01-06T00:00:00"/>
    <d v="2013-02-19T00:00:00"/>
    <d v="2013-02-21T00:00:00"/>
    <n v="31898.23"/>
    <m/>
    <m/>
    <m/>
    <m/>
  </r>
  <r>
    <s v="R-CV-338-02-2013"/>
    <s v="PRÉSTAMO"/>
    <x v="15"/>
    <s v="PARO CARDIO RESPIRATORIO"/>
    <s v="MUERTE"/>
    <d v="2013-01-06T00:00:00"/>
    <d v="2013-02-19T00:00:00"/>
    <d v="2013-02-21T00:00:00"/>
    <n v="181636.15"/>
    <n v="213534.38"/>
    <n v="190300"/>
    <n v="23234.380000000005"/>
    <m/>
  </r>
  <r>
    <s v="R-CV-720-06-2014"/>
    <s v="AHORRO"/>
    <x v="16"/>
    <s v="CARDIPATIA ISQUEMICA"/>
    <s v="MUERTE"/>
    <d v="2013-05-24T00:00:00"/>
    <d v="2014-06-26T00:00:00"/>
    <d v="2014-07-09T00:00:00"/>
    <n v="101052.09"/>
    <m/>
    <m/>
    <m/>
    <m/>
  </r>
  <r>
    <s v="R-CV-981-06-2014"/>
    <s v="PRÉSTAMO"/>
    <x v="16"/>
    <s v="CARDIPATIA ISQUEMICA"/>
    <s v="MUERTE"/>
    <d v="2013-05-24T00:00:00"/>
    <d v="2014-06-26T00:00:00"/>
    <d v="2014-07-09T00:00:00"/>
    <n v="206631.9"/>
    <n v="307683.99"/>
    <n v="190300"/>
    <n v="117383.98999999999"/>
    <m/>
  </r>
  <r>
    <s v="R-CV-732-12-2013"/>
    <s v="AHORRO"/>
    <x v="17"/>
    <s v="HOMICIDIO"/>
    <s v="MUERTE"/>
    <d v="2013-08-28T00:00:00"/>
    <d v="2013-12-03T00:00:00"/>
    <d v="2013-12-06T00:00:00"/>
    <n v="1490.8"/>
    <m/>
    <m/>
    <m/>
    <m/>
  </r>
  <r>
    <s v="R-CV-537-12-2013"/>
    <s v="PRÉSTAMO"/>
    <x v="17"/>
    <s v="HOMICIDIO"/>
    <s v="MUERTE"/>
    <d v="2013-08-28T00:00:00"/>
    <d v="2013-12-03T00:00:00"/>
    <d v="2013-12-06T00:00:00"/>
    <n v="200000"/>
    <n v="201490.8"/>
    <n v="190300"/>
    <n v="11190.799999999988"/>
    <m/>
  </r>
  <r>
    <s v="R-BS-06-01-2014"/>
    <s v="PROTECCION FAMILIAR"/>
    <x v="18"/>
    <s v="INFARTO DEL MIOCARDIO"/>
    <s v="MUERTE"/>
    <d v="2013-12-19T00:00:00"/>
    <d v="2014-01-09T00:00:00"/>
    <d v="2014-04-04T00:00:00"/>
    <n v="550000"/>
    <n v="550000"/>
    <n v="190300"/>
    <n v="359700"/>
    <m/>
  </r>
  <r>
    <s v="R-CV-490-07-2013"/>
    <s v="PRÉSTAMO"/>
    <x v="19"/>
    <s v="INFARTO AGUDO DEL MIOCARDIO"/>
    <s v="MUERTE"/>
    <d v="2013-04-09T00:00:00"/>
    <d v="2013-07-02T00:00:00"/>
    <d v="2013-07-05T00:00:00"/>
    <n v="105182.21"/>
    <m/>
    <m/>
    <m/>
    <m/>
  </r>
  <r>
    <s v="R-CV-311-07-2013"/>
    <s v="AHORRO PINOS DE ORO"/>
    <x v="19"/>
    <s v="INFARTO AGUDO DEL MIOCARDIO"/>
    <s v="MUERTE"/>
    <d v="2013-04-09T00:00:00"/>
    <d v="2013-07-02T00:00:00"/>
    <d v="2013-07-05T00:00:00"/>
    <n v="93038.38"/>
    <n v="198220.59000000003"/>
    <n v="190300"/>
    <n v="7920.5900000000256"/>
    <m/>
  </r>
  <r>
    <s v="R-CV-437-05-2013"/>
    <s v="PRÉSTAMO"/>
    <x v="20"/>
    <s v="PARO CARDIO RESPIRATORIO"/>
    <s v="MUERTE"/>
    <d v="2013-02-01T00:00:00"/>
    <d v="2013-05-20T00:00:00"/>
    <d v="2013-05-28T00:00:00"/>
    <n v="301412.41000000003"/>
    <m/>
    <m/>
    <m/>
    <m/>
  </r>
  <r>
    <s v="AF-019/2013"/>
    <s v="AMPARO FUNEBRE "/>
    <x v="20"/>
    <s v="PARO CARDIO RESPIRATORIO"/>
    <s v="MUERTE"/>
    <d v="2013-02-01T00:00:00"/>
    <d v="2013-05-20T00:00:00"/>
    <d v="2013-05-28T00:00:00"/>
    <n v="5000"/>
    <n v="306412.41000000003"/>
    <n v="190300"/>
    <n v="116112.41000000003"/>
    <m/>
  </r>
  <r>
    <s v="R-CV-471-11-2013"/>
    <s v="AHORRO PINOS DE ORO"/>
    <x v="21"/>
    <s v="CANCER DE PROSTATA"/>
    <s v="MUERTE"/>
    <d v="2013-09-08T00:00:00"/>
    <d v="2013-11-15T00:00:00"/>
    <d v="2013-12-11T00:00:00"/>
    <n v="12932.23"/>
    <m/>
    <m/>
    <m/>
    <m/>
  </r>
  <r>
    <s v="DEA-002/2013"/>
    <s v="DIRECTIVOS Y EMPLEADOS"/>
    <x v="21"/>
    <s v="CANCER DE PROSTATA"/>
    <s v="MUERTE"/>
    <d v="2013-09-08T00:00:00"/>
    <d v="2013-11-15T00:00:00"/>
    <d v="2013-12-11T00:00:00"/>
    <n v="255000"/>
    <n v="267932.23"/>
    <n v="190300"/>
    <n v="77632.229999999981"/>
    <m/>
  </r>
  <r>
    <s v="R-CV-275-02-2013"/>
    <s v="AHORRO"/>
    <x v="22"/>
    <s v="COAGULACIO INTRAVASCULAR DISEMINADA"/>
    <s v="MUERTE"/>
    <d v="2013-01-12T00:00:00"/>
    <d v="2013-02-19T00:00:00"/>
    <d v="2013-02-21T00:00:00"/>
    <n v="53000"/>
    <m/>
    <m/>
    <m/>
    <m/>
  </r>
  <r>
    <s v="R-CV-337-02-2013"/>
    <s v="PRÉSTAMO"/>
    <x v="22"/>
    <s v="COAGULACIO INTRAVASCULAR DISEMINADA"/>
    <s v="MUERTE"/>
    <d v="2013-01-12T00:00:00"/>
    <d v="2013-02-19T00:00:00"/>
    <d v="2013-02-21T00:00:00"/>
    <n v="200000"/>
    <n v="253000"/>
    <n v="190300"/>
    <n v="62700"/>
    <m/>
  </r>
  <r>
    <s v="R-CV-432-08-2013"/>
    <s v="AHORRO"/>
    <x v="23"/>
    <s v="INFARTO CARDIOPULMONAR"/>
    <s v="MUERTE"/>
    <d v="2013-06-04T00:00:00"/>
    <d v="2013-08-05T00:00:00"/>
    <d v="2013-08-08T00:00:00"/>
    <n v="53000"/>
    <m/>
    <m/>
    <m/>
    <m/>
  </r>
  <r>
    <s v="R-CV-559-08-2013"/>
    <s v="PRÉSTAMO"/>
    <x v="23"/>
    <s v="INFARTO CARDIOPULMONAR"/>
    <s v="MUERTE"/>
    <d v="2013-06-04T00:00:00"/>
    <d v="2013-08-05T00:00:00"/>
    <d v="2013-08-08T00:00:00"/>
    <n v="200000"/>
    <n v="253000"/>
    <n v="190300"/>
    <n v="62700"/>
    <m/>
  </r>
  <r>
    <s v="R-CV-636-03-2014"/>
    <s v="AHORRO"/>
    <x v="24"/>
    <s v="HOMICIDIO"/>
    <s v="MUERTE"/>
    <d v="2013-12-24T00:00:00"/>
    <d v="2014-03-26T00:00:00"/>
    <d v="2014-03-28T00:00:00"/>
    <n v="535.78"/>
    <m/>
    <m/>
    <m/>
    <m/>
  </r>
  <r>
    <s v="R-CV-872-03-2014"/>
    <s v="PRÉSTAMO"/>
    <x v="24"/>
    <s v="HOMICIDIO"/>
    <s v="MUERTE"/>
    <d v="2013-12-24T00:00:00"/>
    <d v="2014-03-26T00:00:00"/>
    <d v="2014-04-04T00:00:00"/>
    <n v="198949.85"/>
    <n v="199485.63"/>
    <n v="190300"/>
    <n v="9185.6300000000047"/>
    <m/>
  </r>
  <r>
    <s v="R-SS-8-12-2013"/>
    <s v="AMPARO FUNEBRE "/>
    <x v="25"/>
    <s v="ACCIDENTE DE TRANSITO"/>
    <s v="MUERTE ACCIDENTAL"/>
    <d v="2013-11-04T00:00:00"/>
    <d v="2013-12-11T00:00:00"/>
    <d v="2013-12-18T00:00:00"/>
    <n v="20000"/>
    <m/>
    <m/>
    <m/>
    <m/>
  </r>
  <r>
    <s v="R-CV-11-12-2013"/>
    <s v="DIRECTIVOS Y EMPLEADOS"/>
    <x v="25"/>
    <s v="ACCIDENTE DE TRANSITO"/>
    <s v="MUERTE ACCIDENTAL"/>
    <d v="2013-11-04T00:00:00"/>
    <d v="2013-12-11T00:00:00"/>
    <d v="2013-12-18T00:00:00"/>
    <n v="205000"/>
    <m/>
    <m/>
    <m/>
    <m/>
  </r>
  <r>
    <s v="R-CV-516-12-2013"/>
    <s v="AHORRO PINOS DE ORO"/>
    <x v="25"/>
    <s v="ACCIDENTE DE TRANSITO"/>
    <s v="MUERTE ACCIDENTAL"/>
    <d v="2013-11-04T00:00:00"/>
    <d v="2013-12-11T00:00:00"/>
    <d v="2013-12-26T00:00:00"/>
    <n v="163164.1"/>
    <m/>
    <m/>
    <m/>
    <m/>
  </r>
  <r>
    <s v="R-CV-757-12-2013"/>
    <s v="PRÉSTAMO"/>
    <x v="25"/>
    <s v="ACCIDENTE DE TRANSITO"/>
    <s v="MUERTE ACCIDENTAL"/>
    <d v="2013-11-04T00:00:00"/>
    <d v="2013-12-11T00:00:00"/>
    <d v="2013-12-26T00:00:00"/>
    <n v="161374.29"/>
    <n v="549538.39"/>
    <n v="190300"/>
    <n v="359238.39"/>
    <m/>
  </r>
  <r>
    <s v="R-CV-303-06-2013"/>
    <s v="AHORRO PINOS DE ORO"/>
    <x v="26"/>
    <s v="HOMICIDIO"/>
    <s v="MUERTE"/>
    <d v="2013-05-02T00:00:00"/>
    <d v="2013-06-14T00:00:00"/>
    <d v="2013-07-02T00:00:00"/>
    <n v="57106.03"/>
    <m/>
    <m/>
    <m/>
    <m/>
  </r>
  <r>
    <s v="R-CV-480-06-2013"/>
    <s v="PRÉSTAMO"/>
    <x v="26"/>
    <s v="HOMICIDIO"/>
    <s v="MUERTE"/>
    <d v="2013-05-02T00:00:00"/>
    <d v="2013-06-14T00:00:00"/>
    <d v="2013-07-02T00:00:00"/>
    <n v="537900"/>
    <m/>
    <m/>
    <m/>
    <m/>
  </r>
  <r>
    <s v="R-CV-303-06-2013"/>
    <s v="AHORRO PINOS DE ORO"/>
    <x v="26"/>
    <s v="HOMICIDIO"/>
    <s v="MUERTE"/>
    <d v="2013-05-02T00:00:00"/>
    <d v="2013-06-14T00:00:00"/>
    <d v="2014-06-23T00:00:00"/>
    <n v="19035.349999999999"/>
    <n v="614041.38"/>
    <n v="190300"/>
    <n v="423741.38"/>
    <m/>
  </r>
  <r>
    <s v="R-CV-438-10-2013"/>
    <s v="AHORRO PINOS DE ORO"/>
    <x v="27"/>
    <s v="HOMICIDIO"/>
    <s v="MUERTE"/>
    <d v="2013-08-07T00:00:00"/>
    <d v="2013-10-16T00:00:00"/>
    <d v="2013-10-28T00:00:00"/>
    <n v="20026.830000000002"/>
    <m/>
    <m/>
    <m/>
    <m/>
  </r>
  <r>
    <s v="R-CV-666-10-2013"/>
    <s v="PRÉSTAMO"/>
    <x v="27"/>
    <s v="HOMICIDIO"/>
    <s v="MUERTE"/>
    <d v="2013-08-07T00:00:00"/>
    <d v="2013-10-16T00:00:00"/>
    <d v="2013-10-28T00:00:00"/>
    <n v="180000"/>
    <n v="200026.83000000002"/>
    <n v="190300"/>
    <n v="9726.8300000000163"/>
    <m/>
  </r>
  <r>
    <s v="R-CV-364-05-2013"/>
    <s v="AHORRO"/>
    <x v="28"/>
    <s v="HERIDA PENETRANTE DE TORAX POR ARMA DE FUEGO"/>
    <s v="MUERTE"/>
    <d v="2013-04-25T00:00:00"/>
    <d v="2013-05-23T00:00:00"/>
    <d v="2013-05-30T00:00:00"/>
    <n v="1083.8599999999999"/>
    <m/>
    <m/>
    <m/>
    <m/>
  </r>
  <r>
    <s v="R-CV-447-05-2013"/>
    <s v="PRÉSTAMO"/>
    <x v="28"/>
    <s v="HERIDA PENETRANTE DE TORAX POR ARMA DE FUEGO"/>
    <s v="MUERTE"/>
    <d v="2013-04-25T00:00:00"/>
    <d v="2013-05-23T00:00:00"/>
    <d v="2013-05-30T00:00:00"/>
    <n v="200000"/>
    <n v="201083.86"/>
    <n v="190300"/>
    <n v="10783.859999999986"/>
    <m/>
  </r>
  <r>
    <s v="VE-003/2013"/>
    <s v="DIRECTIVOS Y EMPLEADOS"/>
    <x v="29"/>
    <s v="CANCER GASTRICO"/>
    <s v="MUERTE"/>
    <d v="2013-03-21T00:00:00"/>
    <d v="2013-05-21T00:00:00"/>
    <d v="2013-05-23T00:00:00"/>
    <n v="280000"/>
    <m/>
    <m/>
    <m/>
    <m/>
  </r>
  <r>
    <s v="R-CV-441-05-2013"/>
    <s v="PRÉSTAMO"/>
    <x v="29"/>
    <s v="CANCER GASTRICO"/>
    <s v="MUERTE"/>
    <d v="2013-03-21T00:00:00"/>
    <d v="2013-05-21T00:00:00"/>
    <d v="2013-06-17T00:00:00"/>
    <n v="866640.13"/>
    <n v="1146640.1299999999"/>
    <n v="190300"/>
    <n v="956340.12999999989"/>
    <m/>
  </r>
  <r>
    <s v="R-CV-1823-03-2016"/>
    <s v="PRÉSTAMO"/>
    <x v="30"/>
    <s v="INCAPACIDAD TOTAL Y PERMANENTE"/>
    <s v="INCAPACIDAD TOTAL Y PERMANENTE"/>
    <d v="2013-09-11T00:00:00"/>
    <d v="2016-03-03T00:00:00"/>
    <d v="2016-03-17T00:00:00"/>
    <n v="9700"/>
    <m/>
    <m/>
    <m/>
    <m/>
  </r>
  <r>
    <s v="R-CV-990-07-2014"/>
    <s v="PRÉSTAMO"/>
    <x v="31"/>
    <s v="HEMIPLEGIA DERECHA"/>
    <s v="INCAPACIDAD TOTAL Y PERMANENTE"/>
    <d v="2013-12-11T00:00:00"/>
    <d v="2014-07-04T00:00:00"/>
    <d v="2014-08-18T00:00:00"/>
    <n v="45825.81"/>
    <m/>
    <m/>
    <m/>
    <m/>
  </r>
  <r>
    <s v="DEA-001-07-2014"/>
    <s v="DIRECTIVOS Y EMPLEADOS"/>
    <x v="31"/>
    <s v="HEMIPLEGIA DERECHA"/>
    <s v="INCAPACIDAD TOTAL Y PERMANENTE"/>
    <d v="2013-12-11T00:00:00"/>
    <d v="2014-07-04T00:00:00"/>
    <d v="2014-08-18T00:00:00"/>
    <n v="250000"/>
    <m/>
    <m/>
    <m/>
    <m/>
  </r>
  <r>
    <s v="R-CV-28-07-2014"/>
    <s v="DIRECTIVOS Y EMPLEADOS"/>
    <x v="31"/>
    <s v="HEMIPLEGIA DERECHA"/>
    <s v="INCAPACIDAD TOTAL Y PERMANENTE"/>
    <d v="2013-12-11T00:00:00"/>
    <d v="2014-07-04T00:00:00"/>
    <d v="2014-08-18T00:00:00"/>
    <n v="100000"/>
    <n v="405525.81"/>
    <n v="190300"/>
    <n v="215225.81"/>
    <m/>
  </r>
  <r>
    <s v="R-CV-628-03-2014"/>
    <s v="AHORRO"/>
    <x v="32"/>
    <s v="CARDIOOATIA ISQUEMICA"/>
    <s v="MUERTE"/>
    <d v="2013-12-14T00:00:00"/>
    <d v="2014-03-19T00:00:00"/>
    <d v="2014-03-26T00:00:00"/>
    <n v="33725.379999999997"/>
    <m/>
    <m/>
    <m/>
    <m/>
  </r>
  <r>
    <s v="R-CV-849-03-2014"/>
    <s v="PRÉSTAMO"/>
    <x v="32"/>
    <s v="CARDIOOATIA ISQUEMICA"/>
    <s v="MUERTE"/>
    <d v="2013-12-14T00:00:00"/>
    <d v="2014-03-19T00:00:00"/>
    <d v="2014-03-26T00:00:00"/>
    <n v="72030.960000000006"/>
    <m/>
    <m/>
    <m/>
    <m/>
  </r>
  <r>
    <s v="VE-002-2014"/>
    <s v="DIRECTIVOS Y EMPLEADOS"/>
    <x v="32"/>
    <s v="CARDIOOATIA ISQUEMICA"/>
    <s v="MUERTE"/>
    <d v="2013-12-14T00:00:00"/>
    <d v="2014-03-19T00:00:00"/>
    <d v="2014-03-26T00:00:00"/>
    <n v="135000"/>
    <n v="240756.34000000003"/>
    <n v="190300"/>
    <n v="50456.340000000026"/>
    <m/>
  </r>
  <r>
    <s v="R-CV-488-10-2013"/>
    <s v="AHORRO"/>
    <x v="33"/>
    <s v="DIABETES MELLITUS TIPO II"/>
    <s v="MUERTE"/>
    <d v="2013-07-24T00:00:00"/>
    <d v="2013-10-10T00:00:00"/>
    <d v="2013-10-14T00:00:00"/>
    <n v="53000"/>
    <m/>
    <m/>
    <m/>
    <m/>
  </r>
  <r>
    <s v="R-CV-657-10-2013"/>
    <s v="PRÉSTAMO"/>
    <x v="33"/>
    <s v="DIABETES MELLITUS TIPO II"/>
    <s v="MUERTE"/>
    <d v="2013-07-24T00:00:00"/>
    <d v="2013-10-10T00:00:00"/>
    <d v="2013-10-14T00:00:00"/>
    <n v="200000"/>
    <n v="253000"/>
    <n v="190300"/>
    <n v="62700"/>
    <m/>
  </r>
  <r>
    <s v="R-CV-27-11-2013"/>
    <s v="SALDO DE DEUDA"/>
    <x v="34"/>
    <s v="HOMICIDIO"/>
    <s v="MUERTE"/>
    <d v="2013-09-20T00:00:00"/>
    <d v="2013-11-25T00:00:00"/>
    <d v="2013-11-26T00:00:00"/>
    <n v="302406.42"/>
    <n v="302406.42"/>
    <n v="190300"/>
    <n v="112106.41999999998"/>
    <m/>
  </r>
  <r>
    <s v="R-CV-460-11-2013"/>
    <s v="AHORRO PINOS DE ORO"/>
    <x v="35"/>
    <s v="ACCIDENTE DE TRANSITO"/>
    <s v="MUERTE ACCIDENTAL"/>
    <d v="2013-10-10T00:00:00"/>
    <d v="2013-11-08T00:00:00"/>
    <d v="2013-12-16T00:00:00"/>
    <n v="78411.320000000007"/>
    <m/>
    <m/>
    <m/>
    <m/>
  </r>
  <r>
    <s v="R-CV-689-11-2013"/>
    <s v="PRÉSTAMO"/>
    <x v="35"/>
    <s v="ACCIDENTE DE TRANSITO"/>
    <s v="MUERTE ACCIDENTAL"/>
    <d v="2013-10-10T00:00:00"/>
    <d v="2013-11-08T00:00:00"/>
    <d v="2013-12-16T00:00:00"/>
    <n v="685941.38"/>
    <m/>
    <m/>
    <m/>
    <m/>
  </r>
  <r>
    <s v="AF-035/2013"/>
    <s v="AMPARO FUNEBRE "/>
    <x v="35"/>
    <s v="ACCIDENTE DE TRANSITO"/>
    <s v="MUERTE ACCIDENTAL"/>
    <d v="2013-10-10T00:00:00"/>
    <d v="2013-11-08T00:00:00"/>
    <d v="2013-12-16T00:00:00"/>
    <n v="5000"/>
    <n v="769352.7"/>
    <n v="190300"/>
    <n v="579052.69999999995"/>
    <m/>
  </r>
  <r>
    <s v="R-CV-360-05-2013"/>
    <s v="AHORRO"/>
    <x v="36"/>
    <s v="DIABETES MELLITUS II"/>
    <s v="MUERTE"/>
    <d v="2013-04-18T00:00:00"/>
    <d v="2013-05-22T00:00:00"/>
    <d v="2013-05-27T00:00:00"/>
    <n v="75041.3"/>
    <m/>
    <m/>
    <m/>
    <m/>
  </r>
  <r>
    <s v="R-CV-444-05-2013"/>
    <s v="PRÉSTAMO"/>
    <x v="36"/>
    <s v="DIABETES MELLITUS II"/>
    <s v="MUERTE"/>
    <d v="2013-04-18T00:00:00"/>
    <d v="2013-05-22T00:00:00"/>
    <d v="2013-05-27T00:00:00"/>
    <n v="241559.72"/>
    <n v="316601.02"/>
    <n v="190300"/>
    <n v="126301.02000000002"/>
    <m/>
  </r>
  <r>
    <s v="R-CV-575-08-2013"/>
    <s v="PRÉSTAMO"/>
    <x v="37"/>
    <s v="TUMOR METASTASICO A PULMON"/>
    <s v="MUERTE"/>
    <d v="2013-06-07T00:00:00"/>
    <d v="2013-08-19T00:00:00"/>
    <d v="2013-08-21T00:00:00"/>
    <n v="463512.29"/>
    <n v="463512.29"/>
    <n v="190300"/>
    <n v="273212.28999999998"/>
    <m/>
  </r>
  <r>
    <s v="R-CV-443-05-2013"/>
    <s v="PRÉSTAMO"/>
    <x v="38"/>
    <s v="HIPERTROFIA PROSTATICA BENIGNA"/>
    <s v="MUERTE"/>
    <d v="2013-04-17T00:00:00"/>
    <d v="2013-05-22T00:00:00"/>
    <d v="2013-05-27T00:00:00"/>
    <n v="43790.44"/>
    <m/>
    <m/>
    <m/>
    <m/>
  </r>
  <r>
    <s v="R-BS-02-07-2013"/>
    <s v="PROTECCION FAMILIAR"/>
    <x v="38"/>
    <s v="HIPERTROFIA PROSTATICA BENIGNA"/>
    <s v="MUERTE"/>
    <d v="2013-04-17T00:00:00"/>
    <d v="2013-07-19T00:00:00"/>
    <d v="2013-07-22T00:00:00"/>
    <n v="330000"/>
    <n v="373790.44"/>
    <n v="190300"/>
    <n v="183490.44"/>
    <m/>
  </r>
  <r>
    <s v="R-CV-287-02-2013"/>
    <s v="AHORRO"/>
    <x v="39"/>
    <s v="HOMICIDIO"/>
    <s v="MUERTE"/>
    <d v="2013-01-29T00:00:00"/>
    <d v="2013-02-26T00:00:00"/>
    <d v="2013-02-26T00:00:00"/>
    <n v="3843.64"/>
    <m/>
    <m/>
    <m/>
    <m/>
  </r>
  <r>
    <s v="R-CV-357-02-2013"/>
    <s v="PRÉSTAMO"/>
    <x v="39"/>
    <s v="HOMICIDIO"/>
    <s v="MUERTE"/>
    <d v="2013-01-29T00:00:00"/>
    <d v="2013-02-26T00:00:00"/>
    <d v="2013-02-26T00:00:00"/>
    <n v="200000"/>
    <n v="203843.64"/>
    <n v="190300"/>
    <n v="13543.640000000014"/>
    <m/>
  </r>
  <r>
    <s v="R-CV-403-09-2013"/>
    <s v="AHORRO PINOS DE ORO"/>
    <x v="40"/>
    <s v="HOMICIDIO"/>
    <s v="MUERTE"/>
    <d v="2013-04-29T00:00:00"/>
    <d v="2013-09-10T00:00:00"/>
    <d v="2013-10-17T00:00:00"/>
    <n v="101839.64"/>
    <m/>
    <m/>
    <m/>
    <m/>
  </r>
  <r>
    <s v="R-CV-620-09-2013"/>
    <s v="PRÉSTAMO"/>
    <x v="40"/>
    <s v="HOMICIDIO"/>
    <s v="MUERTE"/>
    <d v="2013-04-29T00:00:00"/>
    <d v="2013-09-10T00:00:00"/>
    <d v="2013-10-17T00:00:00"/>
    <n v="758960.19"/>
    <n v="860799.83"/>
    <n v="190300"/>
    <n v="670499.82999999996"/>
    <m/>
  </r>
  <r>
    <s v="R-CV-348-07-2013"/>
    <s v="AHORRO PINOS DE ORO"/>
    <x v="41"/>
    <s v="PANCREATITIS AGUDA ETIELOGIA INFILTRANTE"/>
    <s v="MUERTE"/>
    <d v="2013-05-11T00:00:00"/>
    <d v="2013-07-24T00:00:00"/>
    <d v="2013-07-26T00:00:00"/>
    <n v="183609.81"/>
    <m/>
    <m/>
    <m/>
    <m/>
  </r>
  <r>
    <s v="R-CV-539-07-2013"/>
    <s v="PRÉSTAMO"/>
    <x v="41"/>
    <s v="PANCREATITIS AGUDA ETIELOGIA INFILTRANTE"/>
    <s v="MUERTE"/>
    <d v="2013-05-11T00:00:00"/>
    <d v="2013-07-24T00:00:00"/>
    <d v="2013-07-26T00:00:00"/>
    <n v="350134.33"/>
    <n v="533744.14"/>
    <n v="190300"/>
    <n v="343444.14"/>
    <m/>
  </r>
  <r>
    <s v="R-CV-433-05-2013"/>
    <s v="PRÉSTAMO"/>
    <x v="42"/>
    <s v="CANCER DE PULMON"/>
    <s v="MUERTE"/>
    <d v="2013-01-03T00:00:00"/>
    <d v="2013-04-01T00:00:00"/>
    <d v="2013-04-16T00:00:00"/>
    <n v="115000"/>
    <m/>
    <m/>
    <m/>
    <m/>
  </r>
  <r>
    <s v="R-CV-249-04-2013"/>
    <s v="AHORRO PINOS DE ORO"/>
    <x v="42"/>
    <s v="CANCER DE PULMON"/>
    <s v="MUERTE"/>
    <d v="2013-01-03T00:00:00"/>
    <d v="2013-04-01T00:00:00"/>
    <d v="2013-04-16T00:00:00"/>
    <n v="240000"/>
    <m/>
    <m/>
    <m/>
    <m/>
  </r>
  <r>
    <s v="R-CV-383-04-2013"/>
    <s v="PRÉSTAMO"/>
    <x v="42"/>
    <s v="ADENOCARCINOMA DE PULMON"/>
    <s v="MUERTE"/>
    <d v="2013-01-03T00:00:00"/>
    <d v="2013-05-20T00:00:00"/>
    <d v="2013-05-21T00:00:00"/>
    <n v="34603.760000000002"/>
    <n v="389603.76"/>
    <n v="190300"/>
    <n v="199303.76"/>
    <m/>
  </r>
  <r>
    <s v="R-CV-833-11-2014"/>
    <s v="AHORRO"/>
    <x v="43"/>
    <s v="INSUFICIENCIA RENAL CRONICA"/>
    <s v="MUERTE"/>
    <d v="2013-12-11T00:00:00"/>
    <d v="2014-11-05T00:00:00"/>
    <d v="2014-11-20T00:00:00"/>
    <n v="153000"/>
    <m/>
    <m/>
    <m/>
    <m/>
  </r>
  <r>
    <s v="R-CV-1145-11-2014"/>
    <s v="PRÉSTAMO"/>
    <x v="43"/>
    <s v="INSUFICIENCIA RENAL CRONICA"/>
    <s v="MUERTE"/>
    <d v="2013-12-11T00:00:00"/>
    <d v="2014-11-05T00:00:00"/>
    <d v="2014-11-25T00:00:00"/>
    <n v="199869.33"/>
    <m/>
    <m/>
    <m/>
    <m/>
  </r>
  <r>
    <s v="R-CV-546-02-2014"/>
    <s v="AHORRO PINOS DE ORO"/>
    <x v="43"/>
    <s v="INSUFICIENCIA RENAL CRONICA"/>
    <s v="MUERTE"/>
    <d v="2013-12-11T00:00:00"/>
    <d v="2014-02-10T00:00:00"/>
    <d v="2014-02-14T00:00:00"/>
    <n v="18210.96"/>
    <n v="371080.29"/>
    <n v="190300"/>
    <n v="180780.28999999998"/>
    <m/>
  </r>
  <r>
    <s v="R-CV-788-01-2014"/>
    <s v="PRÉSTAMO"/>
    <x v="44"/>
    <s v="DIABETES MELLITUS TIPO II"/>
    <s v="INCAPACIDAD TOTAL"/>
    <d v="2013-05-20T00:00:00"/>
    <d v="2014-01-27T00:00:00"/>
    <d v="2014-01-28T00:00:00"/>
    <n v="363000"/>
    <n v="363000"/>
    <n v="190300"/>
    <n v="172700"/>
    <m/>
  </r>
  <r>
    <s v="R-CV-380-09-2013"/>
    <s v="AHORRO PINOS DE ORO"/>
    <x v="45"/>
    <s v="DIABETES MELLITUS TIPO II"/>
    <s v="MUERTE"/>
    <d v="2013-07-25T00:00:00"/>
    <d v="2013-09-02T00:00:00"/>
    <d v="2013-09-12T00:00:00"/>
    <n v="206055.75"/>
    <m/>
    <m/>
    <m/>
    <m/>
  </r>
  <r>
    <s v="R-CV-595-09-2013"/>
    <s v="PRÉSTAMO"/>
    <x v="45"/>
    <s v="DIABETES MELLITUS TIPO II"/>
    <s v="MUERTE"/>
    <d v="2013-07-25T00:00:00"/>
    <d v="2013-09-02T00:00:00"/>
    <d v="2013-10-14T00:00:00"/>
    <n v="100000"/>
    <n v="306055.75"/>
    <n v="190300"/>
    <n v="115755.75"/>
    <m/>
  </r>
  <r>
    <s v="R-CV-503-07-2013"/>
    <s v="PRÉSTAMO"/>
    <x v="46"/>
    <s v="DIABETES MELLITUS TIPO II"/>
    <s v="MUERTE"/>
    <d v="2013-04-26T00:00:00"/>
    <d v="2013-07-05T00:00:00"/>
    <d v="2013-07-19T00:00:00"/>
    <n v="100000"/>
    <m/>
    <m/>
    <m/>
    <m/>
  </r>
  <r>
    <s v="R-CV-408-07-2013"/>
    <s v="AHORRO"/>
    <x v="46"/>
    <s v="DIABETES MELLITUS TIPO II"/>
    <s v="MUERTE"/>
    <d v="2013-04-26T00:00:00"/>
    <d v="2013-07-05T00:00:00"/>
    <d v="2013-07-12T00:00:00"/>
    <n v="91415.63"/>
    <m/>
    <m/>
    <m/>
    <m/>
  </r>
  <r>
    <s v="R-CV-503-07-2013"/>
    <s v="PRÉSTAMO"/>
    <x v="46"/>
    <s v="DIABETES MELLITUS TIPO II"/>
    <s v="MUERTE"/>
    <d v="2013-04-26T00:00:00"/>
    <d v="2013-07-05T00:00:00"/>
    <d v="2013-08-08T00:00:00"/>
    <n v="61574.1"/>
    <n v="252989.73"/>
    <n v="190300"/>
    <n v="62689.73000000001"/>
    <m/>
  </r>
  <r>
    <s v="R-CV-426-07-2013"/>
    <s v="AHORRO"/>
    <x v="47"/>
    <s v="DIABETES MELLITUS"/>
    <s v="MUERTE"/>
    <d v="2013-05-15T00:00:00"/>
    <d v="2013-07-24T00:00:00"/>
    <d v="2013-08-09T00:00:00"/>
    <n v="97536.84"/>
    <m/>
    <m/>
    <m/>
    <m/>
  </r>
  <r>
    <s v="R-CV-543-07-2013"/>
    <s v="PRÉSTAMO"/>
    <x v="47"/>
    <s v="DIABETES MELLITUS"/>
    <s v="MUERTE"/>
    <d v="2013-05-15T00:00:00"/>
    <d v="2013-07-24T00:00:00"/>
    <d v="2013-08-09T00:00:00"/>
    <n v="144415.22"/>
    <n v="241952.06"/>
    <n v="190300"/>
    <n v="51652.06"/>
    <m/>
  </r>
  <r>
    <s v="R-CV-666-05-2014"/>
    <s v="AHORRO"/>
    <x v="48"/>
    <s v="CANCER DE OVARIO"/>
    <s v="MUERTE"/>
    <d v="2013-02-13T00:00:00"/>
    <d v="2014-05-12T00:00:00"/>
    <d v="2014-05-29T00:00:00"/>
    <n v="39000"/>
    <m/>
    <m/>
    <m/>
    <m/>
  </r>
  <r>
    <s v="R-CV-917-05-2014"/>
    <s v="PRÉSTAMO"/>
    <x v="48"/>
    <s v="CANCER DE OVARIO"/>
    <s v="MUERTE"/>
    <d v="2013-02-13T00:00:00"/>
    <d v="2014-05-12T00:00:00"/>
    <d v="2014-05-29T00:00:00"/>
    <n v="215621.74000000002"/>
    <n v="254621.74000000002"/>
    <n v="190300"/>
    <n v="64321.74000000002"/>
    <m/>
  </r>
  <r>
    <s v="R-CV-536-01-2014"/>
    <s v="AHORRO PINOS DE ORO"/>
    <x v="49"/>
    <s v="CANCER GASTRICO EN ETAPA TERMINAL"/>
    <s v="MUERTE"/>
    <d v="2013-11-07T00:00:00"/>
    <d v="2014-01-27T00:00:00"/>
    <d v="2014-01-28T00:00:00"/>
    <n v="105000"/>
    <m/>
    <m/>
    <m/>
    <m/>
  </r>
  <r>
    <s v="R-CV-792-01-2014"/>
    <s v="PRÉSTAMO"/>
    <x v="49"/>
    <s v="CANCER GASTRICO EN ETAPA TERMINAL"/>
    <s v="MUERTE"/>
    <d v="2013-11-07T00:00:00"/>
    <d v="2014-01-27T00:00:00"/>
    <d v="2014-02-10T00:00:00"/>
    <n v="150000"/>
    <n v="255000"/>
    <n v="190300"/>
    <n v="64700"/>
    <m/>
  </r>
  <r>
    <s v="R-CV-331-07-2013"/>
    <s v="AHORRO PINOS DE ORO"/>
    <x v="50"/>
    <s v="HOMICIDIO"/>
    <s v="MUERTE"/>
    <d v="2013-05-18T00:00:00"/>
    <d v="2013-07-05T00:00:00"/>
    <d v="2013-08-21T00:00:00"/>
    <n v="103000"/>
    <m/>
    <m/>
    <m/>
    <m/>
  </r>
  <r>
    <s v="R-CV-519-07-2013"/>
    <s v="PRÉSTAMO"/>
    <x v="50"/>
    <s v="HOMICIDIO"/>
    <s v="MUERTE"/>
    <d v="2013-05-18T00:00:00"/>
    <d v="2013-07-05T00:00:00"/>
    <d v="2013-08-21T00:00:00"/>
    <n v="500000"/>
    <n v="603000"/>
    <n v="190300"/>
    <n v="412700"/>
    <m/>
  </r>
  <r>
    <s v="R-CV-584-01-2014"/>
    <s v="AHORRO"/>
    <x v="51"/>
    <s v="MELANOMA MALIGNO METASTASICO"/>
    <s v="MUERTE"/>
    <d v="2013-11-04T00:00:00"/>
    <d v="2014-01-28T00:00:00"/>
    <d v="2014-02-10T00:00:00"/>
    <n v="53000"/>
    <m/>
    <m/>
    <m/>
    <m/>
  </r>
  <r>
    <s v="R-CV-793-01-2014"/>
    <s v="PRÉSTAMO"/>
    <x v="51"/>
    <s v="MELANOMA MALIGNO METASTASICO"/>
    <s v="MUERTE"/>
    <d v="2013-11-04T00:00:00"/>
    <d v="2014-01-28T00:00:00"/>
    <d v="2014-02-10T00:00:00"/>
    <n v="200000"/>
    <m/>
    <m/>
    <m/>
    <m/>
  </r>
  <r>
    <s v="R-CV-863-03-2014"/>
    <s v="PRÉSTAMO"/>
    <x v="51"/>
    <s v="MELANOMA MALIGNO METASTASICO"/>
    <s v="MUERTE"/>
    <d v="2013-11-04T00:00:00"/>
    <d v="2014-03-25T00:00:00"/>
    <d v="2014-04-04T00:00:00"/>
    <n v="98823.76"/>
    <n v="351823.76"/>
    <n v="190300"/>
    <n v="161523.76"/>
    <m/>
  </r>
  <r>
    <s v="R-CV-221-02-2013"/>
    <s v="AHORRO PINOS DE ORO"/>
    <x v="52"/>
    <s v="HOMICIDIO"/>
    <s v="MUERTE"/>
    <d v="2013-01-16T00:00:00"/>
    <d v="2013-02-14T00:00:00"/>
    <d v="2013-03-15T00:00:00"/>
    <n v="25198.02"/>
    <m/>
    <m/>
    <m/>
    <m/>
  </r>
  <r>
    <s v="AF-008/2013"/>
    <s v="AMPARO FUNEBRE "/>
    <x v="52"/>
    <s v="HOMICIDIO"/>
    <s v="MUERTE"/>
    <d v="2013-01-16T00:00:00"/>
    <d v="2013-02-14T00:00:00"/>
    <d v="2013-03-15T00:00:00"/>
    <n v="15000"/>
    <m/>
    <m/>
    <m/>
    <m/>
  </r>
  <r>
    <s v="R-CV-349-02-2013"/>
    <s v="PRESTAMO"/>
    <x v="52"/>
    <s v="HOMICIDIO"/>
    <s v="MUERTE"/>
    <d v="2013-01-16T00:00:00"/>
    <d v="2013-02-14T00:00:00"/>
    <d v="2013-03-15T00:00:00"/>
    <n v="100000"/>
    <m/>
    <m/>
    <m/>
    <m/>
  </r>
  <r>
    <s v="R-CV-12-02-2013"/>
    <s v="SALDO DE DEUDA"/>
    <x v="52"/>
    <s v="HOMICIDIO"/>
    <s v="MUERTE"/>
    <d v="2013-01-16T00:00:00"/>
    <d v="2013-02-14T00:00:00"/>
    <d v="2013-03-15T00:00:00"/>
    <n v="61110.64"/>
    <n v="201308.66000000003"/>
    <n v="190300"/>
    <n v="11008.660000000033"/>
    <m/>
  </r>
  <r>
    <s v="R-CV-387-09-2013"/>
    <s v="AHORRO PINOS DE ORO"/>
    <x v="53"/>
    <s v="ACCIDENTE DE TRANSITO"/>
    <s v="MUERTE ACCIDENTAL"/>
    <d v="2013-07-22T00:00:00"/>
    <d v="2013-09-03T00:00:00"/>
    <d v="2013-09-24T00:00:00"/>
    <n v="203000"/>
    <m/>
    <m/>
    <m/>
    <m/>
  </r>
  <r>
    <s v="R-CV-602-09-2013"/>
    <s v="PRÉSTAMO"/>
    <x v="53"/>
    <s v="ACCIDENTE DE TRANSITO"/>
    <s v="MUERTE ACCIDENTAL"/>
    <d v="2013-07-22T00:00:00"/>
    <d v="2013-09-03T00:00:00"/>
    <d v="2013-09-24T00:00:00"/>
    <n v="335635.78"/>
    <n v="538635.78"/>
    <n v="190300"/>
    <n v="348335.78"/>
    <m/>
  </r>
  <r>
    <s v="R-CV-487-10-2013"/>
    <s v="AHORRO"/>
    <x v="54"/>
    <s v="CANCER GASTRICO EC IV"/>
    <s v="MUERTE"/>
    <d v="2013-06-08T00:00:00"/>
    <d v="2013-10-10T00:00:00"/>
    <d v="2013-10-14T00:00:00"/>
    <n v="7288.48"/>
    <m/>
    <m/>
    <m/>
    <m/>
  </r>
  <r>
    <s v="R-CV-654-10-2013"/>
    <s v="PRÉSTAMO"/>
    <x v="54"/>
    <s v="CANCER GASTRICO EC IV"/>
    <s v="MUERTE"/>
    <d v="2013-06-08T00:00:00"/>
    <d v="2013-10-10T00:00:00"/>
    <d v="2013-10-14T00:00:00"/>
    <n v="195293.42"/>
    <n v="202581.90000000002"/>
    <n v="190300"/>
    <n v="12281.900000000023"/>
    <m/>
  </r>
  <r>
    <s v="R-BS-04-10-2013"/>
    <s v="PROTECCION FAMILIAR"/>
    <x v="55"/>
    <s v="ACCIDENTE DE TRANSITO"/>
    <s v="MUERTE ACCIDENTAL"/>
    <d v="2013-09-03T00:00:00"/>
    <d v="2013-10-18T00:00:00"/>
    <d v="2013-10-22T00:00:00"/>
    <n v="630000"/>
    <m/>
    <m/>
    <m/>
    <m/>
  </r>
  <r>
    <s v="R-CV-674-10-2013"/>
    <s v="PRÉSTAMO"/>
    <x v="55"/>
    <s v="ACCIDENTE DE TRANSITO"/>
    <s v="MUERTE ACCIDENTAL"/>
    <d v="2013-09-03T00:00:00"/>
    <d v="2013-10-28T00:00:00"/>
    <d v="2013-11-07T00:00:00"/>
    <n v="38294.07"/>
    <m/>
    <m/>
    <m/>
    <m/>
  </r>
  <r>
    <s v="R-CV-669-10-2013"/>
    <s v="PRÉSTAMO"/>
    <x v="55"/>
    <s v="ACCIDENTE DE TRANSITO"/>
    <s v="MUERTE ACCIDENTAL"/>
    <d v="2013-09-03T00:00:00"/>
    <d v="2013-10-23T00:00:00"/>
    <d v="2013-11-05T00:00:00"/>
    <n v="68202.720000000001"/>
    <m/>
    <m/>
    <m/>
    <m/>
  </r>
  <r>
    <s v="R-CV-512-12-2013"/>
    <s v="AHORRO PINOS DE ORO"/>
    <x v="55"/>
    <s v="ACCIDENTE DE TRANSITO"/>
    <s v="MUERTE ACCIDENTAL"/>
    <d v="2013-09-03T00:00:00"/>
    <d v="2013-12-19T00:00:00"/>
    <d v="2013-12-24T00:00:00"/>
    <n v="19657.84"/>
    <n v="756154.62999999989"/>
    <n v="190300"/>
    <n v="565854.62999999989"/>
    <m/>
  </r>
  <r>
    <s v="R-CV-21-06-2013"/>
    <s v="SALDO DE DEUDA"/>
    <x v="56"/>
    <s v="HOMICIDIO"/>
    <s v="MUERTE"/>
    <d v="2013-05-11T00:00:00"/>
    <d v="2013-06-26T00:00:00"/>
    <d v="2013-07-05T00:00:00"/>
    <n v="391227.82"/>
    <n v="391227.82"/>
    <n v="190300"/>
    <n v="200927.82"/>
    <m/>
  </r>
  <r>
    <s v="R-CV-295-06-2013"/>
    <s v="AHORRO PINOS DE ORO"/>
    <x v="57"/>
    <s v="CARDIOPATIA ISQUEMICA"/>
    <s v="MUERTE"/>
    <d v="2013-05-02T00:00:00"/>
    <d v="2013-06-03T00:00:00"/>
    <d v="2013-07-02T00:00:00"/>
    <n v="217081.22999999998"/>
    <m/>
    <m/>
    <m/>
    <m/>
  </r>
  <r>
    <s v="R-CV-470-06-2013"/>
    <s v="PRÉSTAMO"/>
    <x v="57"/>
    <s v="CARDIOPATIA ISQUEMICA"/>
    <s v="MUERTE"/>
    <d v="2013-05-02T00:00:00"/>
    <d v="2013-06-03T00:00:00"/>
    <d v="2013-07-02T00:00:00"/>
    <n v="100000"/>
    <m/>
    <m/>
    <m/>
    <m/>
  </r>
  <r>
    <s v="AF-018/2013"/>
    <s v="AMPARO FUNEBRE "/>
    <x v="57"/>
    <s v="CARDIOPATIA ISQUEMICA"/>
    <s v="MUERTE"/>
    <d v="2013-05-02T00:00:00"/>
    <d v="2013-06-03T00:00:00"/>
    <d v="2013-07-02T00:00:00"/>
    <n v="15000"/>
    <n v="332081.23"/>
    <n v="190300"/>
    <n v="141781.22999999998"/>
    <m/>
  </r>
  <r>
    <s v="R-CV-701-06-2014"/>
    <s v="AHORRO PINOS DE ORO"/>
    <x v="58"/>
    <s v="HOMICIDIO"/>
    <s v="MUERTE"/>
    <d v="2013-05-26T00:00:00"/>
    <d v="2014-06-20T00:00:00"/>
    <d v="2014-07-04T00:00:00"/>
    <n v="28623.439999999999"/>
    <m/>
    <m/>
    <m/>
    <m/>
  </r>
  <r>
    <s v="R-CV-976-06-2014"/>
    <s v="PRÉSTAMO"/>
    <x v="58"/>
    <s v="HOMICIDIO"/>
    <s v="MUERTE"/>
    <d v="2013-05-26T00:00:00"/>
    <d v="2014-06-20T00:00:00"/>
    <d v="2014-07-04T00:00:00"/>
    <n v="180000"/>
    <n v="208623.44"/>
    <n v="190300"/>
    <n v="18323.440000000002"/>
    <m/>
  </r>
  <r>
    <s v="R-CV-29-01-2014"/>
    <s v="SALDO DE DEUDA"/>
    <x v="59"/>
    <s v="EDEMA AGUDO DE PULMON"/>
    <s v="MUERTE"/>
    <d v="2013-10-10T00:00:00"/>
    <d v="2014-01-08T00:00:00"/>
    <d v="2014-04-14T00:00:00"/>
    <n v="333491.34000000003"/>
    <m/>
    <m/>
    <m/>
    <m/>
  </r>
  <r>
    <s v="R-CV-29-01-2014"/>
    <s v="SALDO DE DEUDA"/>
    <x v="59"/>
    <s v="EDEMA AGUDO DE PULMON"/>
    <s v="MUERTE"/>
    <d v="2013-10-10T00:00:00"/>
    <d v="2014-01-08T00:00:00"/>
    <d v="2014-04-14T00:00:00"/>
    <n v="119700"/>
    <n v="453191.34"/>
    <n v="190300"/>
    <n v="262891.34000000003"/>
    <m/>
  </r>
  <r>
    <s v="R-CV-382-09-2013"/>
    <s v="AHORRO PINOS DE ORO"/>
    <x v="60"/>
    <s v="HOMICIDIO"/>
    <s v="MUERTE"/>
    <d v="2013-07-16T00:00:00"/>
    <d v="2013-09-03T00:00:00"/>
    <d v="2013-09-10T00:00:00"/>
    <n v="210426.51"/>
    <m/>
    <m/>
    <m/>
    <m/>
  </r>
  <r>
    <s v="R-CV-596-09-2013"/>
    <s v="PRÉSTAMO"/>
    <x v="60"/>
    <s v="HOMICIDIO"/>
    <s v="MUERTE"/>
    <d v="2013-07-16T00:00:00"/>
    <d v="2013-09-03T00:00:00"/>
    <d v="2013-09-10T00:00:00"/>
    <n v="500000"/>
    <n v="710426.51"/>
    <n v="190300"/>
    <n v="520126.51"/>
    <m/>
  </r>
  <r>
    <s v="R-CV-262-04-2013"/>
    <s v="AHORRO PINOS DE ORO"/>
    <x v="61"/>
    <s v="CIRROSIS HEPATICO"/>
    <s v="MUERTE"/>
    <d v="2013-03-20T00:00:00"/>
    <d v="2013-04-17T00:00:00"/>
    <d v="2013-05-14T00:00:00"/>
    <n v="84130"/>
    <m/>
    <m/>
    <m/>
    <m/>
  </r>
  <r>
    <s v="R-CV-405-04-2013"/>
    <s v="PRESTAMO"/>
    <x v="61"/>
    <s v="CIRROSIS HEPATICO"/>
    <s v="MUERTE"/>
    <d v="2013-03-20T00:00:00"/>
    <d v="2013-04-17T00:00:00"/>
    <d v="2013-06-25T00:00:00"/>
    <n v="469377.54"/>
    <n v="553507.54"/>
    <n v="190300"/>
    <n v="363207.54000000004"/>
    <m/>
  </r>
  <r>
    <s v="R-CV-828-112014"/>
    <s v="AHORRO"/>
    <x v="62"/>
    <s v="HOMICIDIO"/>
    <s v="MUERTE"/>
    <d v="2013-07-03T00:00:00"/>
    <d v="2014-11-03T00:00:00"/>
    <d v="2014-11-12T00:00:00"/>
    <n v="153000"/>
    <m/>
    <m/>
    <m/>
    <m/>
  </r>
  <r>
    <s v="R-CV-1137-11-2014"/>
    <s v="PRÉSTAMO"/>
    <x v="62"/>
    <s v="HOMICIDIO"/>
    <s v="MUERTE"/>
    <d v="2013-07-03T00:00:00"/>
    <d v="2014-11-03T00:00:00"/>
    <d v="2014-11-12T00:00:00"/>
    <n v="43453.15"/>
    <n v="196453.15"/>
    <n v="190300"/>
    <n v="6153.1499999999942"/>
    <m/>
  </r>
  <r>
    <s v="R-CV-579-08-2013"/>
    <s v="PRÉSTAMO"/>
    <x v="63"/>
    <s v="PARO CARDIO RESPIRATORIO"/>
    <s v="MUERTE"/>
    <d v="2013-06-13T00:00:00"/>
    <d v="2013-08-19T00:00:00"/>
    <d v="2013-08-28T00:00:00"/>
    <n v="364482.73"/>
    <m/>
    <m/>
    <m/>
    <m/>
  </r>
  <r>
    <s v="R-CV-322-07-2013"/>
    <s v="AHORRO PINOS DE ORO"/>
    <x v="63"/>
    <s v="PARO CARDIO RESPIRATORIO"/>
    <s v="MUERTE"/>
    <d v="2013-06-13T00:00:00"/>
    <d v="2013-07-06T00:00:00"/>
    <d v="2013-07-17T00:00:00"/>
    <n v="3856.28"/>
    <m/>
    <m/>
    <m/>
    <m/>
  </r>
  <r>
    <s v="R-CV-505-7-2013"/>
    <s v="PRÉSTAMO"/>
    <x v="63"/>
    <s v="PARO CARDIO RESPIRATORIO"/>
    <s v="MUERTE"/>
    <d v="2013-06-13T00:00:00"/>
    <d v="2013-07-06T00:00:00"/>
    <d v="2013-07-17T00:00:00"/>
    <n v="14727.21"/>
    <m/>
    <m/>
    <m/>
    <m/>
  </r>
  <r>
    <s v="AF-025/2013"/>
    <s v="AMPARO FUNEBRE "/>
    <x v="63"/>
    <s v="PARO CARDIO RESPIRATORIO"/>
    <s v="MUERTE"/>
    <d v="2013-06-13T00:00:00"/>
    <d v="2013-07-06T00:00:00"/>
    <d v="2013-07-17T00:00:00"/>
    <n v="5000"/>
    <n v="388066.22000000003"/>
    <n v="190300"/>
    <n v="197766.22000000003"/>
    <m/>
  </r>
  <r>
    <s v="R-CV-376-08-2013"/>
    <s v="AHORRO PINOS DE ORO"/>
    <x v="64"/>
    <s v="INFARTO AGUDO DE MIOCARDIO"/>
    <s v="MUERTE"/>
    <d v="2013-04-22T00:00:00"/>
    <d v="2013-08-26T00:00:00"/>
    <d v="2013-09-10T00:00:00"/>
    <n v="44531.56"/>
    <m/>
    <m/>
    <m/>
    <m/>
  </r>
  <r>
    <s v="R-CV-730-12-2013"/>
    <s v="PRÉSTAMO"/>
    <x v="64"/>
    <s v="INFARTO AGUDO DE MIOCARDIO"/>
    <s v="MUERTE"/>
    <d v="2013-04-22T00:00:00"/>
    <d v="2013-12-03T00:00:00"/>
    <d v="2013-12-05T00:00:00"/>
    <n v="71212.789999999994"/>
    <m/>
    <m/>
    <m/>
    <m/>
  </r>
  <r>
    <s v="R-CV-588-08-2013"/>
    <s v="PRÉSTAMO"/>
    <x v="64"/>
    <s v="INFARTO AGUDO DE MIOCARDIO"/>
    <s v="MUERTE"/>
    <d v="2013-04-22T00:00:00"/>
    <d v="2013-08-26T00:00:00"/>
    <d v="2013-10-09T00:00:00"/>
    <n v="149000"/>
    <n v="264744.34999999998"/>
    <n v="190300"/>
    <n v="74444.349999999977"/>
    <m/>
  </r>
  <r>
    <s v="R-CV-427-10-2013"/>
    <s v="AHORRO PINOS DE ORO"/>
    <x v="65"/>
    <s v="HOMICIDIO"/>
    <s v="MUERTE"/>
    <d v="2013-08-22T00:00:00"/>
    <d v="2013-10-01T00:00:00"/>
    <d v="2013-10-16T00:00:00"/>
    <n v="37129.620000000003"/>
    <m/>
    <m/>
    <m/>
    <m/>
  </r>
  <r>
    <s v="R-CV-643-10-2013"/>
    <s v="PRÉSTAMO"/>
    <x v="65"/>
    <s v="HOMICIDIO"/>
    <s v="MUERTE"/>
    <d v="2013-08-22T00:00:00"/>
    <d v="2013-10-01T00:00:00"/>
    <d v="2013-10-16T00:00:00"/>
    <n v="240000"/>
    <n v="277129.62"/>
    <n v="190300"/>
    <n v="86829.6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s v="R - CV - 4729 - 07 - 2020"/>
    <s v="PRESTAMO"/>
    <s v="ALEX REINERIO ANCHECTA CHINCHILLA"/>
    <x v="0"/>
    <s v="MUERTE"/>
    <d v="2020-03-29T00:00:00"/>
    <d v="2020-07-08T00:00:00"/>
    <d v="2020-10-29T00:00:00"/>
    <n v="814272.19"/>
    <m/>
    <m/>
    <m/>
  </r>
  <r>
    <s v="R - CV - 5733 - 07 - 2020"/>
    <s v="AHORRO PINOS DE ORO"/>
    <s v="ALEX REINERIO ANCHECTA CHINCHILLA"/>
    <x v="0"/>
    <s v="MUERTE"/>
    <d v="2020-03-29T00:00:00"/>
    <d v="2020-07-20T00:00:00"/>
    <d v="2020-10-29T00:00:00"/>
    <n v="104500"/>
    <n v="918772.19"/>
    <n v="721704"/>
    <n v="197068.18999999994"/>
  </r>
  <r>
    <s v="R - CV - 4631 - 03 - 2020"/>
    <s v="PRESTAMO"/>
    <s v="ALLAN ROBERTO EUCEDA GARZA"/>
    <x v="1"/>
    <s v="MUERTE"/>
    <d v="2020-01-03T00:00:00"/>
    <d v="2020-03-23T00:00:00"/>
    <d v="2020-05-27T00:00:00"/>
    <n v="590000"/>
    <m/>
    <m/>
    <m/>
  </r>
  <r>
    <s v="R - CV - 5624 - 03 - 2020"/>
    <s v="AHORRO PINOS DE ORO"/>
    <s v="ALLAN ROBERTO EUCEDA GARZA"/>
    <x v="1"/>
    <s v="MUERTE"/>
    <d v="2020-01-03T00:00:00"/>
    <d v="2020-03-03T00:00:00"/>
    <d v="2020-05-27T00:00:00"/>
    <n v="160736.87"/>
    <n v="750736.87"/>
    <n v="721704"/>
    <n v="29032.869999999995"/>
  </r>
  <r>
    <s v="R-CV-4685-06-2020"/>
    <s v="PRESTAMO"/>
    <s v="BLANCA ESTELA REYES INESTROZA"/>
    <x v="2"/>
    <s v="MUERTE"/>
    <d v="2020-05-22T00:00:00"/>
    <d v="2020-06-08T00:00:00"/>
    <d v="2020-07-10T00:00:00"/>
    <n v="738928.92"/>
    <n v="738928.92"/>
    <n v="721704"/>
    <n v="17224.920000000042"/>
  </r>
  <r>
    <s v="R-CV-133-02-2020"/>
    <s v="DIRECTIVOS Y EMPLEADOS"/>
    <s v="CARLOS ENRIQUE ARDON MAIRENA"/>
    <x v="3"/>
    <s v="MUERTE"/>
    <d v="2020-01-31T00:00:00"/>
    <d v="2020-02-05T00:00:00"/>
    <d v="2020-02-06T00:00:00"/>
    <n v="1549053.33"/>
    <m/>
    <m/>
    <m/>
  </r>
  <r>
    <s v="R-BS-156-02-2020"/>
    <s v="PROTECCIÓN FAMILIAR"/>
    <s v="CARLOS ENRIQUE ARDON MAIRENA"/>
    <x v="3"/>
    <s v="MUERTE"/>
    <d v="2020-01-31T00:00:00"/>
    <d v="2020-02-05T00:00:00"/>
    <d v="2020-02-06T00:00:00"/>
    <n v="110000"/>
    <m/>
    <m/>
    <m/>
  </r>
  <r>
    <s v="R-CV-1727-02-2020"/>
    <s v="AHORRO"/>
    <s v="CARLOS ENRIQUE ARDON MAIRENA"/>
    <x v="3"/>
    <s v="MUERTE"/>
    <d v="2020-01-31T00:00:00"/>
    <d v="2020-02-20T00:00:00"/>
    <d v="2020-02-26T00:00:00"/>
    <n v="104500"/>
    <m/>
    <m/>
    <m/>
  </r>
  <r>
    <s v="R-CV-4545-02-2020"/>
    <s v="PRESTAMO"/>
    <s v="CARLOS ENRIQUE ARDON MAIRENA"/>
    <x v="3"/>
    <s v="MUERTE"/>
    <d v="2020-01-31T00:00:00"/>
    <d v="2020-02-20T00:00:00"/>
    <d v="2020-02-26T00:00:00"/>
    <n v="542379.56000000006"/>
    <m/>
    <m/>
    <m/>
  </r>
  <r>
    <s v="R-CV-4613-03-2020"/>
    <s v="PRESTAMO"/>
    <s v="CARLOS ENRIQUE ARDON MAIRENA"/>
    <x v="3"/>
    <s v="MUERTE"/>
    <d v="2020-01-31T00:00:00"/>
    <d v="2020-03-12T00:00:00"/>
    <d v="2020-03-16T00:00:00"/>
    <n v="36950.870000000003"/>
    <m/>
    <m/>
    <m/>
  </r>
  <r>
    <s v="R-CV-5606-03-2020"/>
    <s v="AHORRO PINOS DE ORO"/>
    <s v="CARLOS ENRIQUE ARDON MAIRENA"/>
    <x v="3"/>
    <s v="MUERTE"/>
    <d v="2020-01-31T00:00:00"/>
    <d v="2020-03-12T00:00:00"/>
    <d v="2020-03-16T00:00:00"/>
    <n v="55969.4"/>
    <n v="2398853.16"/>
    <n v="721704"/>
    <n v="1677149.1600000001"/>
  </r>
  <r>
    <s v="R-CV-6025-09-2020"/>
    <s v="PRESTAMO"/>
    <s v="CARLOS FEDERICO BARRIENTOS AMADOR"/>
    <x v="4"/>
    <s v="MUERTE"/>
    <d v="2020-06-26T00:00:00"/>
    <d v="2020-09-25T00:00:00"/>
    <d v="2020-09-29T00:00:00"/>
    <n v="1200002.42"/>
    <n v="1200002.42"/>
    <n v="721704"/>
    <n v="478298.41999999993"/>
  </r>
  <r>
    <s v="R - CV - 5766 - 07 - 2020"/>
    <s v="PRESTAMO"/>
    <s v="DANILO ARNALDO MENJIVAR TORO"/>
    <x v="5"/>
    <s v="MUERTE"/>
    <d v="2020-06-10T00:00:00"/>
    <d v="2020-07-21T00:00:00"/>
    <d v="2020-09-03T00:00:00"/>
    <n v="1210000"/>
    <n v="1210000"/>
    <n v="721704"/>
    <n v="488296"/>
  </r>
  <r>
    <s v="R-CV-1774-08-2020"/>
    <s v="AHORRO"/>
    <s v="DAVID OMAR PINEDA GOMEZ"/>
    <x v="6"/>
    <s v="MUERTE"/>
    <d v="2020-07-04T00:00:00"/>
    <d v="2020-08-11T00:00:00"/>
    <d v="2020-08-21T00:00:00"/>
    <n v="26822.39"/>
    <m/>
    <m/>
    <m/>
  </r>
  <r>
    <s v="R-CV-5800-08-2020"/>
    <s v="PRESTAMO"/>
    <s v="DAVID OMAR PINEDA GOMEZ"/>
    <x v="6"/>
    <s v="MUERTE"/>
    <d v="2020-07-04T00:00:00"/>
    <d v="2020-08-11T00:00:00"/>
    <d v="2020-08-21T00:00:00"/>
    <n v="788477.38"/>
    <n v="815299.77"/>
    <n v="721704"/>
    <n v="93595.770000000019"/>
  </r>
  <r>
    <s v="R-CV-6021-09-2020"/>
    <s v="AHORRO PINOS DE ORO"/>
    <s v="DAVID SIERRA F"/>
    <x v="4"/>
    <s v="MUERTE"/>
    <d v="2020-06-27T00:00:00"/>
    <d v="2020-09-26T00:00:00"/>
    <d v="2020-10-12T00:00:00"/>
    <n v="171153.07"/>
    <m/>
    <m/>
    <m/>
  </r>
  <r>
    <s v="R-CV-6006-09-2020"/>
    <s v="PRESTAMO"/>
    <s v="DAVID SIERRA F"/>
    <x v="4"/>
    <s v="MUERTE"/>
    <d v="2020-06-27T00:00:00"/>
    <d v="2020-09-03T00:00:00"/>
    <d v="2020-10-12T00:00:00"/>
    <n v="653083.52"/>
    <n v="824236.59000000008"/>
    <n v="721704"/>
    <n v="102532.59000000008"/>
  </r>
  <r>
    <s v="R - CV - 6513 - 12 - 2020"/>
    <s v="PRESTAMO"/>
    <s v="DONALDO ANTONIO REYES VILLEDA"/>
    <x v="7"/>
    <s v="MUERTE"/>
    <d v="2020-10-25T00:00:00"/>
    <d v="2020-12-09T00:00:00"/>
    <d v="2021-01-29T00:00:00"/>
    <n v="1500000"/>
    <m/>
    <m/>
    <m/>
  </r>
  <r>
    <s v="R - CV - 6595 - 12 - 2020"/>
    <s v="AHORRO PINOS DE ORO"/>
    <s v="DONALDO ANTONIO REYES VILLEDA"/>
    <x v="7"/>
    <s v="MUERTE"/>
    <d v="2020-10-25T00:00:00"/>
    <d v="2020-12-09T00:00:00"/>
    <d v="2021-01-29T00:00:00"/>
    <n v="104500"/>
    <n v="1604500"/>
    <n v="721704"/>
    <n v="882796"/>
  </r>
  <r>
    <s v="R-CV-4731-07-2020"/>
    <s v="PRESTAMO"/>
    <s v="EFRAIN MORENO GUZMAN"/>
    <x v="8"/>
    <s v="MUERTE"/>
    <d v="2020-06-04T00:00:00"/>
    <d v="2020-07-22T00:00:00"/>
    <d v="2020-08-25T00:00:00"/>
    <n v="1000000"/>
    <m/>
    <m/>
    <m/>
  </r>
  <r>
    <s v="R-CV-5737-07-2020"/>
    <s v="AHORRO PINOS DE ORO"/>
    <s v="EFRAIN MORENO GUZMAN"/>
    <x v="8"/>
    <s v="MUERTE"/>
    <d v="2020-06-04T00:00:00"/>
    <d v="2020-07-22T00:00:00"/>
    <d v="2020-08-25T00:00:00"/>
    <n v="49327.26"/>
    <n v="1049327.26"/>
    <n v="721704"/>
    <n v="327623.26"/>
  </r>
  <r>
    <s v="R-CV-5877-01-2021"/>
    <s v="AMPARO FÚNEBRE MASIVO"/>
    <s v="ELVIN DONALDO HENRIQUEZ PORTILLO"/>
    <x v="9"/>
    <s v="MUERTE"/>
    <d v="2020-11-20T00:00:00"/>
    <d v="2021-01-15T00:00:00"/>
    <d v="2021-01-25T00:00:00"/>
    <n v="50000"/>
    <m/>
    <m/>
    <m/>
  </r>
  <r>
    <s v="R-CV-6700-01-2021"/>
    <s v="PRESTAMO"/>
    <s v="ELVIN DONALDO HENRIQUEZ PORTILLO"/>
    <x v="9"/>
    <s v="MUERTE"/>
    <d v="2020-11-20T00:00:00"/>
    <d v="2021-01-15T00:00:00"/>
    <m/>
    <n v="1373513.18"/>
    <m/>
    <m/>
    <m/>
  </r>
  <r>
    <s v="R-CV-6811-01-2021"/>
    <s v="AHORRO PINOS DE ORO"/>
    <s v="ELVIN DONALDO HENRIQUEZ PORTILLO"/>
    <x v="9"/>
    <s v="MUERTE"/>
    <d v="2020-11-20T00:00:00"/>
    <d v="2021-01-15T00:00:00"/>
    <d v="2021-01-22T00:00:00"/>
    <n v="110000"/>
    <n v="1533513.18"/>
    <n v="721704"/>
    <n v="811809.17999999993"/>
  </r>
  <r>
    <s v="R - CV - 6831 - 02 - 2021"/>
    <s v="PRESTAMO"/>
    <s v="EMILIO ROBERTO ORELLANA"/>
    <x v="10"/>
    <s v="MUERTE"/>
    <d v="2020-11-21T00:00:00"/>
    <d v="2021-02-08T00:00:00"/>
    <d v="2021-02-26T00:00:00"/>
    <n v="1142464.43"/>
    <n v="1142464.43"/>
    <n v="721704"/>
    <n v="420760.42999999993"/>
  </r>
  <r>
    <s v="R - CV - 6183 - 12 - 2020"/>
    <s v="AHORRO"/>
    <s v="ENNA SOCORRO ESPINAL MIDENCE"/>
    <x v="11"/>
    <s v="MUERTE"/>
    <d v="2020-06-13T00:00:00"/>
    <d v="2020-12-23T00:00:00"/>
    <d v="2021-01-15T00:00:00"/>
    <n v="153000"/>
    <m/>
    <m/>
    <m/>
  </r>
  <r>
    <s v="R-CV-6694-01-2021"/>
    <s v="PRESTAMO"/>
    <s v="ENNA SOCORRO ESPINAL MIDENCE"/>
    <x v="11"/>
    <s v="MUERTE"/>
    <d v="2020-06-13T00:00:00"/>
    <d v="2021-01-14T00:00:00"/>
    <m/>
    <n v="759741.05"/>
    <m/>
    <m/>
    <m/>
  </r>
  <r>
    <s v="R - CV - 6603 - 12 - 2020"/>
    <s v="PRESTAMO"/>
    <s v="ENNA SOCORRO ESPINAL MIDENCE"/>
    <x v="11"/>
    <s v="MUERTE"/>
    <d v="2020-06-13T00:00:00"/>
    <d v="2020-12-23T00:00:00"/>
    <d v="2021-03-05T00:00:00"/>
    <n v="250000"/>
    <n v="1162741.05"/>
    <n v="721704"/>
    <n v="441037.05000000005"/>
  </r>
  <r>
    <s v="R-CV-4618-03-2020"/>
    <s v="PRESTAMO"/>
    <s v="ERASMO JAVIER GARCIA HERNANDEZ"/>
    <x v="12"/>
    <s v="MUERTE"/>
    <d v="2020-02-13T00:00:00"/>
    <d v="2020-03-09T00:00:00"/>
    <d v="2020-03-28T00:00:00"/>
    <n v="849999.33"/>
    <m/>
    <m/>
    <m/>
  </r>
  <r>
    <s v="R-CV-5609-03-2020"/>
    <s v="AHORRO PINOS DE ORO"/>
    <s v="ERASMO JAVIER GARCIA HERNANDEZ"/>
    <x v="12"/>
    <s v="MUERTE"/>
    <d v="2020-02-13T00:00:00"/>
    <d v="2020-03-09T00:00:00"/>
    <d v="2020-03-28T00:00:00"/>
    <n v="307500"/>
    <m/>
    <m/>
    <m/>
  </r>
  <r>
    <s v="R-CV-846-04-2020"/>
    <s v="AMPARO FÚNEBRE MASIVO"/>
    <s v="ERASMO JAVIER GARCIA HERNANDEZ"/>
    <x v="12"/>
    <s v="MUERTE"/>
    <d v="2020-02-13T00:00:00"/>
    <d v="2020-04-29T00:00:00"/>
    <d v="2020-04-28T00:00:00"/>
    <n v="50000"/>
    <m/>
    <m/>
    <m/>
  </r>
  <r>
    <s v="R-CV-4665-04-2020"/>
    <s v="PRESTAMO"/>
    <s v="ERASMO JAVIER GARCIA HERNANDEZ"/>
    <x v="12"/>
    <s v="MUERTE"/>
    <d v="2020-02-13T00:00:00"/>
    <d v="2020-04-29T00:00:00"/>
    <d v="2020-05-27T00:00:00"/>
    <n v="67233.55"/>
    <m/>
    <m/>
    <m/>
  </r>
  <r>
    <s v="R-CV-5647-04-2020"/>
    <s v="AHORRO PINOS DE ORO"/>
    <s v="ERASMO JAVIER GARCIA HERNANDEZ"/>
    <x v="12"/>
    <s v="MUERTE"/>
    <d v="2020-02-13T00:00:00"/>
    <d v="2020-04-29T00:00:00"/>
    <d v="2020-05-27T00:00:00"/>
    <n v="85894.11"/>
    <m/>
    <m/>
    <m/>
  </r>
  <r>
    <s v="R - CV - 6549 - 12 - 2020"/>
    <s v="PRESTAMO"/>
    <s v="ERASMO JAVIER GARCIA HERNANDEZ"/>
    <x v="12"/>
    <s v="MUERTE"/>
    <d v="2020-02-13T00:00:00"/>
    <d v="2020-12-03T00:00:00"/>
    <d v="2021-02-11T00:00:00"/>
    <n v="25789.52"/>
    <m/>
    <m/>
    <m/>
  </r>
  <r>
    <s v="R-CV-5842-12-2020"/>
    <s v="AMPARO FUNEBRE"/>
    <s v="ERASMO JAVIER GARCIA HERNANDEZ"/>
    <x v="12"/>
    <s v="MUERTE"/>
    <d v="2020-02-13T00:00:00"/>
    <d v="2020-12-03T00:00:00"/>
    <d v="2021-02-11T00:00:00"/>
    <n v="7000"/>
    <m/>
    <m/>
    <m/>
  </r>
  <r>
    <s v="R - CV - 6622 - 12 - 2020"/>
    <s v="AHORRO PINOS DE ORO"/>
    <s v="ERASMO JAVIER GARCIA HERNANDEZ"/>
    <x v="12"/>
    <s v="MUERTE"/>
    <d v="2020-02-13T00:00:00"/>
    <d v="2020-12-03T00:00:00"/>
    <d v="2021-02-11T00:00:00"/>
    <n v="54500"/>
    <n v="1447916.5100000002"/>
    <n v="721704"/>
    <n v="726212.51000000024"/>
  </r>
  <r>
    <s v="R - CV - 6844 - 02 - 2021"/>
    <s v="PRESTAMO"/>
    <s v="GIOVANNI MARTINEZ LIZARDO"/>
    <x v="6"/>
    <s v="MUERTE"/>
    <d v="2020-12-30T00:00:00"/>
    <d v="2021-02-10T00:00:00"/>
    <d v="2021-02-26T00:00:00"/>
    <n v="704195.86"/>
    <m/>
    <m/>
    <m/>
  </r>
  <r>
    <s v="R - CV - 7039 - 02 - 2021"/>
    <s v="AHORRO PINOS DE ORO"/>
    <s v="GIOVANNI MARTINEZ LIZARDO"/>
    <x v="6"/>
    <s v="MUERTE"/>
    <d v="2020-12-30T00:00:00"/>
    <d v="2021-02-10T00:00:00"/>
    <d v="2021-02-16T00:00:00"/>
    <n v="60000"/>
    <n v="764195.86"/>
    <n v="721704"/>
    <n v="42491.859999999986"/>
  </r>
  <r>
    <s v="R - CV - 8918 - 02 - 2022"/>
    <s v="PRESTAMO"/>
    <s v="HECTOR ADOLFO SOLORZANO FONSECA"/>
    <x v="13"/>
    <s v="MUERTE"/>
    <d v="2020-07-02T00:00:00"/>
    <d v="2022-02-11T00:00:00"/>
    <d v="2022-03-30T00:00:00"/>
    <n v="1853079.76"/>
    <n v="1853079.76"/>
    <n v="721704"/>
    <n v="1131375.76"/>
  </r>
  <r>
    <s v="R - CV - 4706 - 07 - 2020"/>
    <s v="PRESTAMO"/>
    <s v="HENRY OMAR GUILLEN DUBON"/>
    <x v="14"/>
    <s v="MUERTE"/>
    <d v="2020-02-20T00:00:00"/>
    <d v="2020-07-09T00:00:00"/>
    <d v="2020-08-12T00:00:00"/>
    <n v="1310000"/>
    <m/>
    <m/>
    <m/>
  </r>
  <r>
    <s v="R - CV - 5718 - 07 - 2020"/>
    <s v="AHORRO PINOS DE ORO"/>
    <s v="HENRY OMAR GUILLEN DUBON"/>
    <x v="14"/>
    <s v="MUERTE"/>
    <d v="2020-02-20T00:00:00"/>
    <d v="2020-07-09T00:00:00"/>
    <d v="2020-08-06T00:00:00"/>
    <n v="165000"/>
    <n v="1475000"/>
    <n v="721704"/>
    <n v="753296"/>
  </r>
  <r>
    <s v="R-CV-1770-07-2020"/>
    <s v="AHORRO"/>
    <s v="HERNAN ABEL CARRASCO MAYORGA"/>
    <x v="6"/>
    <s v="MUERTE"/>
    <d v="2020-07-05T00:00:00"/>
    <d v="2020-07-30T00:00:00"/>
    <d v="2020-08-21T00:00:00"/>
    <n v="104500"/>
    <m/>
    <m/>
    <m/>
  </r>
  <r>
    <s v="R-CV-5785-07-2020"/>
    <s v="PRESTAMO"/>
    <s v="HERNAN ABEL CARRASCO MAYORGA"/>
    <x v="6"/>
    <s v="MUERTE"/>
    <d v="2020-07-05T00:00:00"/>
    <d v="2020-07-30T00:00:00"/>
    <d v="2020-08-25T00:00:00"/>
    <n v="1678501.69"/>
    <n v="1783001.69"/>
    <n v="721704"/>
    <n v="1061297.69"/>
  </r>
  <r>
    <s v="R - CV - 6182 - 10 - 2020"/>
    <s v="PRESTAMO"/>
    <s v="HERNAN CASTAÑEDA MARQUEZ"/>
    <x v="15"/>
    <s v="MUERTE"/>
    <d v="2020-07-28T00:00:00"/>
    <d v="2020-10-07T00:00:00"/>
    <d v="2020-10-28T00:00:00"/>
    <n v="392968.18"/>
    <m/>
    <m/>
    <m/>
  </r>
  <r>
    <s v="R - CV - 6280 - 10 - 2020"/>
    <s v="AHORRO PINOS DE ORO"/>
    <s v="HERNAN CASTAÑEDA MARQUEZ"/>
    <x v="15"/>
    <s v="MUERTE"/>
    <d v="2020-07-28T00:00:00"/>
    <d v="2020-10-16T00:00:00"/>
    <d v="2020-11-20T00:00:00"/>
    <n v="52287.37"/>
    <m/>
    <m/>
    <m/>
  </r>
  <r>
    <s v="R - CV - 6302 - 10 - 2020"/>
    <s v="PRESTAMO"/>
    <s v="HERNAN CASTAÑEDA MARQUEZ"/>
    <x v="15"/>
    <s v="MUERTE"/>
    <d v="2020-07-28T00:00:00"/>
    <d v="2020-10-16T00:00:00"/>
    <d v="2020-11-20T00:00:00"/>
    <n v="450000"/>
    <n v="895255.55"/>
    <n v="721704"/>
    <n v="173551.55000000005"/>
  </r>
  <r>
    <s v="R - CV - 6375 - 11 - 2020"/>
    <s v="PRESTAMO"/>
    <s v="HEYNSSON FRANCISCO RODRIGUEZ LINARES"/>
    <x v="16"/>
    <s v="MUERTE"/>
    <d v="2020-07-07T00:00:00"/>
    <d v="2020-11-02T00:00:00"/>
    <d v="2020-12-28T00:00:00"/>
    <n v="1500000"/>
    <m/>
    <m/>
    <m/>
  </r>
  <r>
    <s v="R - CV - 6395 - 11 - 2020"/>
    <s v="AHORRO PINOS DE ORO"/>
    <s v="HEYNSSON FRANCISCO RODRIGUEZ LINARES"/>
    <x v="16"/>
    <s v="MUERTE"/>
    <d v="2020-07-07T00:00:00"/>
    <d v="2020-11-02T00:00:00"/>
    <d v="2020-12-28T00:00:00"/>
    <n v="104500"/>
    <n v="1604500"/>
    <n v="721704"/>
    <n v="882796"/>
  </r>
  <r>
    <s v="R - CV - 7086 - 03 - 2021"/>
    <s v="PRESTAMO"/>
    <s v="JEOVANI PAREDES"/>
    <x v="6"/>
    <s v="MUERTE"/>
    <d v="2020-12-19T00:00:00"/>
    <d v="2021-03-23T00:00:00"/>
    <d v="2021-05-29T00:00:00"/>
    <n v="860000"/>
    <m/>
    <m/>
    <m/>
  </r>
  <r>
    <s v="R - CV - 7293 - 03 - 2021"/>
    <s v="AHORRO PINOS DE ORO"/>
    <s v="JEOVANI PAREDES"/>
    <x v="6"/>
    <s v="MUERTE"/>
    <d v="2020-12-19T00:00:00"/>
    <d v="2021-03-23T00:00:00"/>
    <d v="2021-05-19T00:00:00"/>
    <n v="165000"/>
    <n v="1025000"/>
    <n v="721704"/>
    <n v="303296"/>
  </r>
  <r>
    <s v="R - CV - 6630 - 12 - 2020"/>
    <s v="PRESTAMO"/>
    <s v="JORGE ALBERTO BUESO IGLESIAS"/>
    <x v="1"/>
    <s v="MUERTE"/>
    <d v="2020-11-29T00:00:00"/>
    <d v="2020-12-29T00:00:00"/>
    <d v="2021-01-15T00:00:00"/>
    <n v="105000"/>
    <m/>
    <m/>
    <m/>
  </r>
  <r>
    <s v="R - CV - 6680 - 01 - 2021"/>
    <s v="PRESTAMO"/>
    <s v="JORGE ALBERTO BUESO IGLESIAS"/>
    <x v="17"/>
    <s v="MUERTE"/>
    <d v="2020-11-29T00:00:00"/>
    <d v="2021-01-08T00:00:00"/>
    <d v="2021-03-09T00:00:00"/>
    <n v="927000"/>
    <m/>
    <m/>
    <m/>
  </r>
  <r>
    <s v="R - CV - 6791 - 01 - 2021"/>
    <s v="AHORRO PINOS DE ORO"/>
    <s v="JORGE ALBERTO BUESO IGLESIAS"/>
    <x v="17"/>
    <s v="MUERTE"/>
    <d v="2020-11-29T00:00:00"/>
    <d v="2021-01-08T00:00:00"/>
    <d v="2021-02-26T00:00:00"/>
    <n v="165000"/>
    <n v="1197000"/>
    <n v="721704"/>
    <n v="475296"/>
  </r>
  <r>
    <s v="R-CV-4701-07-2020"/>
    <s v="PRESTAMO"/>
    <s v="JORGE LIZANDRO SANTOS"/>
    <x v="6"/>
    <s v="MUERTE"/>
    <d v="2020-05-30T00:00:00"/>
    <d v="2020-07-03T00:00:00"/>
    <d v="2020-08-25T00:00:00"/>
    <n v="883971.02"/>
    <m/>
    <m/>
    <m/>
  </r>
  <r>
    <s v="R-CV-5709-07-2020"/>
    <s v="AHORRO PINOS DE ORO"/>
    <s v="JORGE LIZANDRO SANTOS"/>
    <x v="6"/>
    <s v="MUERTE"/>
    <d v="2020-05-30T00:00:00"/>
    <d v="2020-07-02T00:00:00"/>
    <d v="2020-08-17T00:00:00"/>
    <n v="137179.71"/>
    <n v="1021150.73"/>
    <n v="721704"/>
    <n v="299446.73"/>
  </r>
  <r>
    <s v="R - CV - 4704 - 07 - 2020"/>
    <s v="PRESTAMO"/>
    <s v="JOSE ADOLFO VARGAS HERNANDEZ"/>
    <x v="18"/>
    <s v="MUERTE ACCIDENTAL"/>
    <d v="2020-01-27T00:00:00"/>
    <d v="2020-07-03T00:00:00"/>
    <d v="2020-07-23T00:00:00"/>
    <n v="678000"/>
    <m/>
    <m/>
    <m/>
  </r>
  <r>
    <s v="R - CV - 5714 - 07 - 2020"/>
    <s v="AHORRO PINOS DE ORO"/>
    <s v="JOSE ADOLFO VARGAS HERNANDEZ"/>
    <x v="18"/>
    <s v="MUERTE ACCIDENTAL"/>
    <d v="2020-01-27T00:00:00"/>
    <d v="2020-07-03T00:00:00"/>
    <d v="2020-07-16T00:00:00"/>
    <n v="315000"/>
    <n v="993000"/>
    <n v="721704"/>
    <n v="271296"/>
  </r>
  <r>
    <s v="R-BS-183-11-2020"/>
    <s v="PROTECCIÓN FAMILIAR"/>
    <s v="JOSE HUMBERTO LOPEZ VILLANUEVA"/>
    <x v="8"/>
    <s v="MUERTE"/>
    <d v="2020-10-01T00:00:00"/>
    <d v="2020-11-23T00:00:00"/>
    <d v="2020-12-03T00:00:00"/>
    <n v="330000"/>
    <m/>
    <m/>
    <m/>
  </r>
  <r>
    <s v="R-CV-6434-11-2020"/>
    <s v="AHORRO PINOS DE ORO"/>
    <s v="JOSE HUMBERTO LOPEZ VILLANUEVA"/>
    <x v="8"/>
    <s v="MUERTE"/>
    <d v="2020-10-01T00:00:00"/>
    <d v="2020-11-10T00:00:00"/>
    <d v="2020-11-26T00:00:00"/>
    <n v="8022.74"/>
    <m/>
    <m/>
    <m/>
  </r>
  <r>
    <s v="R - CV - 6287 - 10 - 2020"/>
    <s v="AHORRO PINOS DE ORO"/>
    <s v="JOSE HUMBERTO LOPEZ VILLANUEVA"/>
    <x v="8"/>
    <s v="MUERTE"/>
    <d v="2020-10-01T00:00:00"/>
    <d v="2020-10-16T00:00:00"/>
    <d v="2020-11-27T00:00:00"/>
    <n v="46648.79"/>
    <m/>
    <m/>
    <m/>
  </r>
  <r>
    <s v="R - CV - 6307 - 10 - 2020"/>
    <s v="PRESTAMO"/>
    <s v="JOSE HUMBERTO LOPEZ VILLANUEVA"/>
    <x v="8"/>
    <s v="MUERTE"/>
    <d v="2020-10-01T00:00:00"/>
    <d v="2020-10-19T00:00:00"/>
    <d v="2020-11-27T00:00:00"/>
    <n v="370978.3"/>
    <n v="755649.83"/>
    <n v="721704"/>
    <n v="33945.829999999958"/>
  </r>
  <r>
    <s v="R-CV-5803-08-2020"/>
    <s v="PRESTAMO"/>
    <s v="JOSE LUIS GALEAS NAJERA"/>
    <x v="19"/>
    <s v="MUERTE"/>
    <d v="2020-03-06T00:00:00"/>
    <d v="2020-08-11T00:00:00"/>
    <d v="2020-08-25T00:00:00"/>
    <n v="909841.81"/>
    <m/>
    <m/>
    <m/>
  </r>
  <r>
    <s v="R-CV-1794-08-2020"/>
    <s v="AHORRO"/>
    <s v="JOSE LUIS GALEAS NAJERA"/>
    <x v="19"/>
    <s v="MUERTE"/>
    <d v="2020-03-06T00:00:00"/>
    <d v="2020-08-05T00:00:00"/>
    <d v="2020-10-12T00:00:00"/>
    <n v="50912.97"/>
    <m/>
    <m/>
    <m/>
  </r>
  <r>
    <s v="R-CV-5846-08-2020"/>
    <s v="PRESTAMO"/>
    <s v="JOSE LUIS GALEAS NAJERA"/>
    <x v="19"/>
    <s v="MUERTE"/>
    <d v="2020-03-06T00:00:00"/>
    <d v="2020-08-05T00:00:00"/>
    <d v="2020-10-12T00:00:00"/>
    <n v="79817.36"/>
    <n v="1040572.14"/>
    <n v="721704"/>
    <n v="318868.14"/>
  </r>
  <r>
    <s v="R - CV - 5802 - 08 - 2020"/>
    <s v="AHORRO PINOS DE ORO"/>
    <s v="JOSE NIMROD REYES"/>
    <x v="6"/>
    <s v="MUERTE"/>
    <d v="2020-07-11T00:00:00"/>
    <d v="2020-08-14T00:00:00"/>
    <d v="2020-09-02T00:00:00"/>
    <n v="129860.88"/>
    <m/>
    <m/>
    <m/>
  </r>
  <r>
    <s v="R - CV - 5811 - 08 - 2020"/>
    <s v="PRESTAMO"/>
    <s v="JOSE NIMROD REYES"/>
    <x v="6"/>
    <s v="MUERTE"/>
    <d v="2020-07-11T00:00:00"/>
    <d v="2020-08-14T00:00:00"/>
    <d v="2020-12-28T00:00:00"/>
    <n v="966000"/>
    <n v="1095860.8799999999"/>
    <n v="721704"/>
    <n v="374156.87999999989"/>
  </r>
  <r>
    <s v="R - CV - 6512 - 12 - 2020"/>
    <s v="PRESTAMO"/>
    <s v="JOSE REYNALDO ARRIOLA GALEAS"/>
    <x v="16"/>
    <s v="MUERTE"/>
    <d v="2020-11-08T00:00:00"/>
    <d v="2020-12-09T00:00:00"/>
    <d v="2021-01-29T00:00:00"/>
    <n v="987191.91"/>
    <m/>
    <m/>
    <m/>
  </r>
  <r>
    <s v="R - CV - 6091 - 12 - 2020"/>
    <s v="VIDA DEUDOR DECLARATIVO"/>
    <s v="JOSE REYNALDO ARRIOLA GALEAS"/>
    <x v="16"/>
    <s v="MUERTE"/>
    <d v="2020-11-08T00:00:00"/>
    <d v="2020-12-22T00:00:00"/>
    <d v="2021-01-25T00:00:00"/>
    <n v="172000"/>
    <m/>
    <m/>
    <m/>
  </r>
  <r>
    <s v="R - CV - 6594 - 12 - 2020"/>
    <s v="AHORRO PINOS DE ORO"/>
    <s v="JOSE REYNALDO ARRIOLA GALEAS"/>
    <x v="16"/>
    <s v="MUERTE"/>
    <d v="2020-11-08T00:00:00"/>
    <d v="2020-12-09T00:00:00"/>
    <d v="2021-01-29T00:00:00"/>
    <n v="104500"/>
    <n v="1263691.9100000001"/>
    <n v="721704"/>
    <n v="541987.91000000015"/>
  </r>
  <r>
    <s v="R - CV - 6640 - 12 - 2020"/>
    <s v="PRESTAMO"/>
    <s v="JUAN DIEGO ORTEZ"/>
    <x v="20"/>
    <s v="MUERTE"/>
    <d v="2020-11-18T00:00:00"/>
    <d v="2020-12-28T00:00:00"/>
    <d v="2021-02-25T00:00:00"/>
    <n v="810000"/>
    <m/>
    <m/>
    <m/>
  </r>
  <r>
    <s v="R - CV - 6754 - 12 - 2020"/>
    <s v="AHORRO PINOS DE ORO"/>
    <s v="JUAN DIEGO ORTEZ"/>
    <x v="20"/>
    <s v="MUERTE"/>
    <d v="2020-11-18T00:00:00"/>
    <d v="2020-12-28T00:00:00"/>
    <d v="2021-02-25T00:00:00"/>
    <n v="165000"/>
    <n v="975000"/>
    <n v="721704"/>
    <n v="253296"/>
  </r>
  <r>
    <s v="R-CV-6141-11-2020"/>
    <s v="AHORRO"/>
    <s v="JUAN MIGUEL CHAVEZ"/>
    <x v="21"/>
    <s v="MUERTE"/>
    <d v="2020-02-15T00:00:00"/>
    <d v="2020-11-23T00:00:00"/>
    <d v="2021-01-22T00:00:00"/>
    <n v="153000"/>
    <m/>
    <m/>
    <m/>
  </r>
  <r>
    <s v="R-CV-6383-11-2020"/>
    <s v="PRESTAMO"/>
    <s v="JUAN MIGUEL CHAVEZ"/>
    <x v="21"/>
    <s v="MUERTE"/>
    <d v="2020-02-15T00:00:00"/>
    <d v="2020-11-23T00:00:00"/>
    <d v="2021-01-22T00:00:00"/>
    <n v="250000"/>
    <m/>
    <m/>
    <m/>
  </r>
  <r>
    <s v="R-CV-6693-01-2021"/>
    <s v="PRESTAMO"/>
    <s v="JUAN MIGUEL CHAVEZ"/>
    <x v="21"/>
    <s v="MUERTE"/>
    <d v="2020-02-15T00:00:00"/>
    <d v="2021-01-14T00:00:00"/>
    <d v="2021-01-22T00:00:00"/>
    <n v="647633.55000000005"/>
    <n v="1050633.55"/>
    <n v="721704"/>
    <n v="328929.55000000005"/>
  </r>
  <r>
    <s v="R - CV - 6092 - 12 - 2020"/>
    <s v="VIDA DEUDOR DECLARATIVO"/>
    <s v="JUAN RAMON POLANCO"/>
    <x v="22"/>
    <s v="MUERTE"/>
    <d v="2020-11-22T00:00:00"/>
    <d v="2020-12-22T00:00:00"/>
    <d v="2021-02-22T00:00:00"/>
    <n v="820000"/>
    <m/>
    <m/>
    <m/>
  </r>
  <r>
    <s v="R - CV - 6760 - 12 - 2020"/>
    <s v="AHORRO PINOS DE ORO"/>
    <s v="JUAN RAMON POLANCO"/>
    <x v="22"/>
    <s v="MUERTE"/>
    <d v="2020-11-22T00:00:00"/>
    <d v="2020-12-23T00:00:00"/>
    <d v="2021-02-22T00:00:00"/>
    <n v="35000"/>
    <n v="855000"/>
    <n v="721704"/>
    <n v="133296"/>
  </r>
  <r>
    <s v="R-CV-4606-03-2020"/>
    <s v="PRESTAMO"/>
    <s v="LEYLA ESTHER NARVAEZ MOLINA"/>
    <x v="23"/>
    <s v="MUERTE"/>
    <d v="2020-02-06T00:00:00"/>
    <d v="2020-03-05T00:00:00"/>
    <d v="2020-03-26T00:00:00"/>
    <n v="496954.49"/>
    <m/>
    <m/>
    <m/>
  </r>
  <r>
    <s v="R-CV-5598-03-2020"/>
    <s v="AHORRO PINOS DE ORO"/>
    <s v="LEYLA ESTHER NARVAEZ MOLINA"/>
    <x v="23"/>
    <s v="MUERTE"/>
    <d v="2020-02-06T00:00:00"/>
    <d v="2020-03-05T00:00:00"/>
    <d v="2020-03-26T00:00:00"/>
    <n v="307500"/>
    <n v="804454.49"/>
    <n v="721704"/>
    <n v="82750.489999999991"/>
  </r>
  <r>
    <s v="R-CV-1805-09-2020"/>
    <s v="AHORRO"/>
    <s v="LUCINDA EMILIANA MEZA VALERIANO"/>
    <x v="24"/>
    <s v="MUERTE"/>
    <d v="2020-06-18T00:00:00"/>
    <d v="2020-08-30T00:00:00"/>
    <d v="2020-09-17T00:00:00"/>
    <n v="157500"/>
    <m/>
    <m/>
    <m/>
  </r>
  <r>
    <s v="R-CV-5878-09-2020"/>
    <s v="PRESTAMO"/>
    <s v="LUCINDA EMILIANA MEZA VALERIANO"/>
    <x v="24"/>
    <s v="MUERTE"/>
    <d v="2020-06-18T00:00:00"/>
    <d v="2020-08-30T00:00:00"/>
    <d v="2020-09-17T00:00:00"/>
    <n v="302647.58"/>
    <m/>
    <m/>
    <m/>
  </r>
  <r>
    <s v="R-CV-6092-09-2020"/>
    <s v="AHORRO PINOS DE ORO"/>
    <s v="LUCINDA EMILIANA MEZA VALERIANO"/>
    <x v="24"/>
    <s v="MUERTE"/>
    <d v="2020-06-18T00:00:00"/>
    <d v="2020-09-29T00:00:00"/>
    <d v="2020-10-12T00:00:00"/>
    <n v="307500"/>
    <m/>
    <m/>
    <m/>
  </r>
  <r>
    <s v="R - CV - 6084 - 10 - 2020"/>
    <s v="PRESTAMO"/>
    <s v="LUCINDA EMILIANA MEZA VALERIANO"/>
    <x v="24"/>
    <s v="MUERTE"/>
    <d v="2020-06-18T00:00:00"/>
    <d v="2020-10-06T00:00:00"/>
    <d v="2020-10-12T00:00:00"/>
    <n v="325115.2"/>
    <m/>
    <m/>
    <m/>
  </r>
  <r>
    <s v="R - CV - 6127 - 10 - 2020"/>
    <s v="AHORRO"/>
    <s v="LUCINDA EMILIANA MEZA VALERIANO"/>
    <x v="24"/>
    <s v="MUERTE"/>
    <d v="2020-06-18T00:00:00"/>
    <d v="2020-10-24T00:00:00"/>
    <d v="2020-10-29T00:00:00"/>
    <n v="60078.28"/>
    <m/>
    <m/>
    <m/>
  </r>
  <r>
    <s v="R - CV - 6282 - 10 - 2020"/>
    <s v="PRESTAMO"/>
    <s v="LUCINDA EMILIANA MEZA VALERIANO"/>
    <x v="24"/>
    <s v="MUERTE"/>
    <d v="2020-06-18T00:00:00"/>
    <d v="2020-10-24T00:00:00"/>
    <d v="2021-01-09T00:00:00"/>
    <n v="191114.43"/>
    <n v="1343955.49"/>
    <n v="721704"/>
    <n v="622251.49"/>
  </r>
  <r>
    <s v="R-CV-6202-01-2021"/>
    <s v="AHORRO"/>
    <s v="LUIS ANTONIO ENAMORADO VAQUERO"/>
    <x v="9"/>
    <s v="MUERTE"/>
    <d v="2020-10-21T00:00:00"/>
    <d v="2021-01-21T00:00:00"/>
    <d v="2021-02-11T00:00:00"/>
    <n v="153000"/>
    <m/>
    <m/>
    <m/>
  </r>
  <r>
    <s v="R-CV-6723-01-2021"/>
    <s v="PRESTAMO"/>
    <s v="LUIS ANTONIO ENAMORADO VAQUERO"/>
    <x v="9"/>
    <s v="MUERTE"/>
    <d v="2020-10-21T00:00:00"/>
    <d v="2021-01-21T00:00:00"/>
    <d v="2021-02-11T00:00:00"/>
    <n v="135944.57999999999"/>
    <m/>
    <m/>
    <m/>
  </r>
  <r>
    <s v="R - CV - 6857 - 02 - 2021"/>
    <s v="PRESTAMO"/>
    <s v="LUIS ANTONIO ENAMORADO VAQUERO"/>
    <x v="9"/>
    <s v="MUERTE"/>
    <d v="2020-10-21T00:00:00"/>
    <d v="2021-02-15T00:00:00"/>
    <d v="2021-02-26T00:00:00"/>
    <n v="551102.32999999996"/>
    <n v="840046.90999999992"/>
    <n v="721704"/>
    <n v="118342.90999999992"/>
  </r>
  <r>
    <s v="R-CV-6407-11-2020"/>
    <s v="PRESTAMO"/>
    <s v="MANUEL ANTONIO TEJADA ROMERO"/>
    <x v="17"/>
    <s v="MUERTE"/>
    <d v="2020-06-17T00:00:00"/>
    <d v="2020-11-24T00:00:00"/>
    <d v="2020-12-17T00:00:00"/>
    <n v="724996.04"/>
    <n v="724996.04"/>
    <n v="721704"/>
    <n v="3292.0400000000373"/>
  </r>
  <r>
    <s v="R - CV - 6679 - 01 - 2021"/>
    <s v="PRESTAMO"/>
    <s v="MARIA DEL CARMEN JIMENEZ"/>
    <x v="25"/>
    <s v="MUERTE"/>
    <d v="2020-12-13T00:00:00"/>
    <d v="2021-01-08T00:00:00"/>
    <d v="2021-03-17T00:00:00"/>
    <n v="760000"/>
    <m/>
    <m/>
    <m/>
  </r>
  <r>
    <s v="R - CV - 6790 - 01 - 2021"/>
    <s v="AHORRO PINOS DE ORO"/>
    <s v="MARIA DEL CARMEN JIMENEZ"/>
    <x v="25"/>
    <s v="MUERTE"/>
    <d v="2020-12-13T00:00:00"/>
    <d v="2021-01-08T00:00:00"/>
    <d v="2021-02-19T00:00:00"/>
    <n v="56942.62"/>
    <n v="816942.62"/>
    <n v="721704"/>
    <n v="95238.62"/>
  </r>
  <r>
    <s v="R - CV - 6464 - 11 - 2020"/>
    <s v="PRESTAMO"/>
    <s v="MARIO ALFONSO ESPINOZA PINTO"/>
    <x v="26"/>
    <s v="MUERTE"/>
    <d v="2020-10-10T00:00:00"/>
    <d v="2020-11-09T00:00:00"/>
    <d v="2021-05-13T00:00:00"/>
    <n v="701262.47"/>
    <m/>
    <m/>
    <m/>
  </r>
  <r>
    <s v="R - CV - 6512 - 11 - 2020"/>
    <s v="AHORRO PINOS DE ORO"/>
    <s v="MARIO ALFONSO ESPINOZA PINTO"/>
    <x v="26"/>
    <s v="MUERTE"/>
    <d v="2020-10-10T00:00:00"/>
    <d v="2020-11-09T00:00:00"/>
    <d v="2021-01-22T00:00:00"/>
    <n v="104221.91"/>
    <n v="805484.38"/>
    <n v="721704"/>
    <n v="83780.38"/>
  </r>
  <r>
    <s v="R-CV-5690-08-2020"/>
    <s v="AMPARO FÚNEBRE MASIVO"/>
    <s v="MARIO DAVID IRIAS MEDINA"/>
    <x v="25"/>
    <s v="MUERTE"/>
    <d v="2020-05-31T00:00:00"/>
    <d v="2020-08-17T00:00:00"/>
    <d v="2020-10-08T00:00:00"/>
    <n v="50000"/>
    <m/>
    <m/>
    <m/>
  </r>
  <r>
    <s v="R-CV-5856-08-2020"/>
    <s v="PRESTAMO"/>
    <s v="MARIO DAVID IRIAS MEDINA"/>
    <x v="25"/>
    <s v="MUERTE"/>
    <d v="2020-05-31T00:00:00"/>
    <d v="2020-08-17T00:00:00"/>
    <d v="2020-09-29T00:00:00"/>
    <n v="705852.93"/>
    <m/>
    <m/>
    <m/>
  </r>
  <r>
    <s v="R-CV-5880-08-2020"/>
    <s v="AHORRO PINOS DE ORO"/>
    <s v="MARIO DAVID IRIAS MEDINA"/>
    <x v="25"/>
    <s v="MUERTE"/>
    <d v="2020-05-31T00:00:00"/>
    <d v="2020-08-17T00:00:00"/>
    <d v="2020-10-09T00:00:00"/>
    <n v="110000"/>
    <n v="865852.93"/>
    <n v="721704"/>
    <n v="144148.93000000005"/>
  </r>
  <r>
    <s v="R - CV - 5999 - 09 - 2020"/>
    <s v="PRESTAMO"/>
    <s v="MARIO DUBON"/>
    <x v="8"/>
    <s v="MUERTE"/>
    <d v="2020-04-11T00:00:00"/>
    <d v="2020-09-25T00:00:00"/>
    <d v="2020-11-27T00:00:00"/>
    <n v="971451.44"/>
    <m/>
    <m/>
    <m/>
  </r>
  <r>
    <s v="R - CV - 6000 - 09 - 2020"/>
    <s v="AHORRO PINOS DE ORO"/>
    <s v="MARIO DUBON"/>
    <x v="8"/>
    <s v="MUERTE"/>
    <d v="2020-04-11T00:00:00"/>
    <d v="2020-09-14T00:00:00"/>
    <d v="2020-11-27T00:00:00"/>
    <n v="104500"/>
    <n v="1075951.44"/>
    <n v="721704"/>
    <n v="354247.43999999994"/>
  </r>
  <r>
    <s v="R - CV - 166 - 03 - 2021"/>
    <s v="DIRECTIVOS Y EMPLEADOS"/>
    <s v="MARIO RODOLFO ESPINAL RODRIGUEZ"/>
    <x v="17"/>
    <s v="MUERTE"/>
    <d v="2020-11-14T00:00:00"/>
    <d v="2021-03-05T00:00:00"/>
    <d v="2021-04-13T00:00:00"/>
    <n v="1010000"/>
    <m/>
    <m/>
    <m/>
  </r>
  <r>
    <s v="R - BS - 198 - 03 - 2021"/>
    <s v="PROTECCIÓN FAMILIAR"/>
    <s v="MARIO RODOLFO ESPINAL RODRIGUEZ"/>
    <x v="17"/>
    <s v="MUERTE"/>
    <d v="2020-11-14T00:00:00"/>
    <d v="2021-03-05T00:00:00"/>
    <d v="2021-04-08T00:00:00"/>
    <n v="550000"/>
    <m/>
    <m/>
    <m/>
  </r>
  <r>
    <s v="R - CV - 6953 - 03 - 2021"/>
    <s v="PRESTAMO"/>
    <s v="MARIO RODOLFO ESPINAL RODRIGUEZ"/>
    <x v="17"/>
    <s v="MUERTE"/>
    <d v="2020-11-14T00:00:00"/>
    <d v="2021-03-05T00:00:00"/>
    <d v="2021-03-30T00:00:00"/>
    <n v="342885.91"/>
    <n v="1902885.91"/>
    <n v="721704"/>
    <n v="1181181.9099999999"/>
  </r>
  <r>
    <s v="R-CV-6472-11-2020"/>
    <s v="PRESTAMO"/>
    <s v="MARIO STEVE HENRIQUEZ ESCOBAR"/>
    <x v="17"/>
    <s v="MUERTE"/>
    <d v="2020-06-04T00:00:00"/>
    <d v="2020-11-27T00:00:00"/>
    <d v="2020-12-21T00:00:00"/>
    <n v="990000"/>
    <m/>
    <m/>
    <m/>
  </r>
  <r>
    <s v="R - CV - 6221 - 10 - 2020"/>
    <s v="AHORRO PINOS DE ORO"/>
    <s v="MARIO STEVE HENRIQUEZ ESCOBAR"/>
    <x v="17"/>
    <s v="MUERTE"/>
    <d v="2020-06-04T00:00:00"/>
    <d v="2020-11-27T00:00:00"/>
    <d v="2020-12-21T00:00:00"/>
    <n v="2040.94"/>
    <n v="992040.94"/>
    <n v="721704"/>
    <n v="270336.93999999994"/>
  </r>
  <r>
    <s v="R - CV - 150 - 12 - 2020"/>
    <s v="DIRECTIVOS Y EMPLEADOS"/>
    <s v="MARLEY EULALIO ERAZO RAMOS"/>
    <x v="6"/>
    <s v="MUERTE"/>
    <d v="2020-10-22T00:00:00"/>
    <d v="2020-12-02T00:00:00"/>
    <d v="2021-01-29T00:00:00"/>
    <n v="1010000"/>
    <n v="1010000"/>
    <n v="721704"/>
    <n v="288296"/>
  </r>
  <r>
    <s v="R-CV-1799-09-2020"/>
    <s v="AHORRO"/>
    <s v="MARTA IDALIA MARADIAGA MARTINEZ"/>
    <x v="9"/>
    <s v="MUERTE"/>
    <d v="2020-06-25T00:00:00"/>
    <d v="2020-09-01T00:00:00"/>
    <d v="2020-09-09T00:00:00"/>
    <n v="8685.9599999999991"/>
    <m/>
    <m/>
    <m/>
  </r>
  <r>
    <s v="R-CV-6058-09-2020"/>
    <s v="PRESTAMO"/>
    <s v="MARTA IDALIA MARADIAGA MARTINEZ"/>
    <x v="9"/>
    <s v="MUERTE"/>
    <d v="2020-06-25T00:00:00"/>
    <d v="2020-09-28T00:00:00"/>
    <d v="2020-11-24T00:00:00"/>
    <n v="848398.22"/>
    <m/>
    <m/>
    <m/>
  </r>
  <r>
    <s v="R-CV-6069-09-2020"/>
    <s v="AHORRO PINOS DE ORO"/>
    <s v="MARTA IDALIA MARADIAGA MARTINEZ"/>
    <x v="9"/>
    <s v="MUERTE"/>
    <d v="2020-06-25T00:00:00"/>
    <d v="2020-09-28T00:00:00"/>
    <d v="2020-11-24T00:00:00"/>
    <n v="87500"/>
    <n v="944584.17999999993"/>
    <n v="721704"/>
    <n v="222880.17999999993"/>
  </r>
  <r>
    <s v="R - CV - 4718 - 07 - 2020"/>
    <s v="PRESTAMO"/>
    <s v="MELBY RUTH ROMERO CANTARERO"/>
    <x v="27"/>
    <s v="MUERTE"/>
    <d v="2020-05-30T00:00:00"/>
    <d v="2020-07-13T00:00:00"/>
    <d v="2020-07-29T00:00:00"/>
    <n v="610000"/>
    <m/>
    <m/>
    <m/>
  </r>
  <r>
    <s v="R - CV - 5727 - 07 - 2020"/>
    <s v="AHORRO PINOS DE ORO"/>
    <s v="MELBY RUTH ROMERO CANTARERO"/>
    <x v="27"/>
    <s v="MUERTE"/>
    <d v="2020-05-30T00:00:00"/>
    <d v="2020-07-13T00:00:00"/>
    <d v="2020-07-29T00:00:00"/>
    <n v="165000"/>
    <m/>
    <m/>
    <m/>
  </r>
  <r>
    <s v="R-CV-4739-07-2020"/>
    <s v="PRESTAMO"/>
    <s v="MELBY RUTH ROMERO CANTARERO"/>
    <x v="27"/>
    <s v="MUERTE"/>
    <d v="2020-05-30T00:00:00"/>
    <d v="2020-07-23T00:00:00"/>
    <d v="2020-08-26T00:00:00"/>
    <n v="105000"/>
    <m/>
    <m/>
    <m/>
  </r>
  <r>
    <s v="R - CV - 5817 - 08 - 2020"/>
    <s v="AHORRO PINOS DE ORO"/>
    <s v="MELBY RUTH ROMERO CANTARERO"/>
    <x v="27"/>
    <s v="MUERTE"/>
    <d v="2020-05-30T00:00:00"/>
    <d v="2020-08-18T00:00:00"/>
    <d v="2020-09-25T00:00:00"/>
    <n v="8022.76"/>
    <m/>
    <m/>
    <m/>
  </r>
  <r>
    <s v="R - CV - 5818 - 08 - 2020"/>
    <s v="PRESTAMO"/>
    <s v="MELBY RUTH ROMERO CANTARERO"/>
    <x v="27"/>
    <s v="MUERTE"/>
    <d v="2020-05-30T00:00:00"/>
    <d v="2020-08-18T00:00:00"/>
    <d v="2020-09-25T00:00:00"/>
    <n v="125765.63"/>
    <m/>
    <m/>
    <m/>
  </r>
  <r>
    <s v="R - CV - 6579 - 12 - 2020"/>
    <s v="PRESTAMO"/>
    <s v="MELBY RUTH ROMERO CANTARERO"/>
    <x v="27"/>
    <s v="MUERTE"/>
    <d v="2020-05-30T00:00:00"/>
    <d v="2020-12-19T00:00:00"/>
    <d v="2020-12-29T00:00:00"/>
    <n v="142247.92000000001"/>
    <n v="1156036.31"/>
    <n v="721704"/>
    <n v="434332.31000000006"/>
  </r>
  <r>
    <s v="R - CV - 6851 - 02 - 2021"/>
    <s v="PRESTAMO"/>
    <s v="MIGUEL RAMON PINEDA DIAZ"/>
    <x v="1"/>
    <s v="MUERTE"/>
    <d v="2020-12-23T00:00:00"/>
    <d v="2021-02-11T00:00:00"/>
    <d v="2021-02-26T00:00:00"/>
    <n v="1289893.22"/>
    <n v="1289893.22"/>
    <n v="721704"/>
    <n v="568189.22"/>
  </r>
  <r>
    <s v="R - CV - 6859 - 02 - 2021"/>
    <s v="PRESTAMO"/>
    <s v="MOISES DAVID CORDOVA BERNARDEZ"/>
    <x v="9"/>
    <s v="MUERTE"/>
    <d v="2020-12-11T00:00:00"/>
    <d v="2021-02-15T00:00:00"/>
    <d v="2021-02-26T00:00:00"/>
    <n v="177100.76"/>
    <m/>
    <m/>
    <m/>
  </r>
  <r>
    <s v="R - BS - 204 - 03 - 2021"/>
    <s v="PROTECCIÓN FAMILIAR"/>
    <s v="MOISES DAVID CORDOVA BERNARDEZ"/>
    <x v="9"/>
    <s v="MUERTE"/>
    <d v="2020-12-11T00:00:00"/>
    <d v="2021-03-16T00:00:00"/>
    <d v="2021-03-26T00:00:00"/>
    <n v="557000"/>
    <n v="734100.76"/>
    <n v="721704"/>
    <n v="12396.760000000009"/>
  </r>
  <r>
    <s v="R-CV-108-01-2021"/>
    <s v="SALDO DE DEUDA"/>
    <s v="NELSON FRANCISCO GUTIERREZ"/>
    <x v="6"/>
    <s v="MUERTE"/>
    <d v="2020-12-11T00:00:00"/>
    <d v="2021-01-28T00:00:00"/>
    <d v="2021-02-26T00:00:00"/>
    <n v="924962.32"/>
    <m/>
    <m/>
    <m/>
  </r>
  <r>
    <s v="R-CV-6209-01-2021"/>
    <s v="AHORRO"/>
    <s v="NELSON FRANCISCO GUTIERREZ"/>
    <x v="6"/>
    <s v="MUERTE"/>
    <d v="2020-12-11T00:00:00"/>
    <d v="2021-01-27T00:00:00"/>
    <d v="2021-02-26T00:00:00"/>
    <n v="41500"/>
    <m/>
    <m/>
    <m/>
  </r>
  <r>
    <s v="R-CV-6743-01-2021"/>
    <s v="PRESTAMO"/>
    <s v="NELSON FRANCISCO GUTIERREZ"/>
    <x v="6"/>
    <s v="MUERTE"/>
    <d v="2020-12-11T00:00:00"/>
    <d v="2021-01-26T00:00:00"/>
    <d v="2021-02-11T00:00:00"/>
    <n v="105000"/>
    <m/>
    <m/>
    <m/>
  </r>
  <r>
    <s v="R-CV-6872-01-2021"/>
    <s v="AHORRO PINOS DE ORO"/>
    <s v="NELSON FRANCISCO GUTIERREZ"/>
    <x v="6"/>
    <s v="MUERTE"/>
    <d v="2020-12-11T00:00:00"/>
    <d v="2021-01-26T00:00:00"/>
    <d v="2021-02-11T00:00:00"/>
    <n v="43037.31"/>
    <m/>
    <m/>
    <m/>
  </r>
  <r>
    <s v="R-CV-109-01-2021"/>
    <s v="SALDO DE DEUDA"/>
    <s v="NELSON FRANCISCO GUTIERREZ"/>
    <x v="6"/>
    <s v="MUERTE"/>
    <d v="2020-12-11T00:00:00"/>
    <d v="2021-01-28T00:00:00"/>
    <d v="2021-03-05T00:00:00"/>
    <n v="425000"/>
    <m/>
    <m/>
    <m/>
  </r>
  <r>
    <s v="R-CV-6754-01-2021"/>
    <s v="PRESTAMO"/>
    <s v="NELSON FRANCISCO GUTIERREZ"/>
    <x v="6"/>
    <s v="MUERTE"/>
    <d v="2020-12-11T00:00:00"/>
    <d v="2021-01-27T00:00:00"/>
    <d v="2021-03-05T00:00:00"/>
    <n v="75000"/>
    <m/>
    <m/>
    <m/>
  </r>
  <r>
    <s v="R-CV-6743-01-2021"/>
    <s v="PRESTAMO"/>
    <s v="NELSON FRANCISCO GUTIERREZ"/>
    <x v="6"/>
    <s v="MUERTE"/>
    <d v="2020-12-11T00:00:00"/>
    <d v="2021-01-26T00:00:00"/>
    <d v="2021-02-11T00:00:00"/>
    <n v="116800"/>
    <n v="1731299.63"/>
    <n v="721704"/>
    <n v="1009595.6299999999"/>
  </r>
  <r>
    <s v="R - CV - 4689 - 06 - 2020"/>
    <s v="PRESTAMO"/>
    <s v="PABLO CASTRO GONZALEZ"/>
    <x v="17"/>
    <s v="MUERTE"/>
    <d v="2020-05-22T00:00:00"/>
    <d v="2020-06-15T00:00:00"/>
    <d v="2021-02-24T00:00:00"/>
    <n v="850000"/>
    <m/>
    <m/>
    <m/>
  </r>
  <r>
    <s v="R - CV - 5664 - 06 - 2020"/>
    <s v="AMPARO FÚNEBRE MASIVO"/>
    <s v="PABLO CASTRO GONZALEZ"/>
    <x v="17"/>
    <s v="MUERTE"/>
    <d v="2020-05-22T00:00:00"/>
    <d v="2020-06-15T00:00:00"/>
    <d v="2020-06-23T00:00:00"/>
    <n v="7000"/>
    <m/>
    <m/>
    <m/>
  </r>
  <r>
    <s v="R - CV - 5688 - 06 - 2020"/>
    <s v="AHORRO PINOS DE ORO"/>
    <s v="PABLO CASTRO GONZALEZ"/>
    <x v="17"/>
    <s v="MUERTE"/>
    <d v="2020-05-22T00:00:00"/>
    <d v="2020-06-15T00:00:00"/>
    <d v="2020-06-23T00:00:00"/>
    <n v="40348.04"/>
    <n v="897348.04"/>
    <n v="721704"/>
    <n v="175644.04000000004"/>
  </r>
  <r>
    <s v="R - CV - 8090 - 08 - 2021"/>
    <s v="PRESTAMO"/>
    <s v="PEDRO ANTONIO PEREZ"/>
    <x v="6"/>
    <s v="MUERTE"/>
    <d v="2020-12-24T00:00:00"/>
    <d v="2021-08-12T00:00:00"/>
    <d v="2022-02-28T00:00:00"/>
    <n v="1200000"/>
    <n v="1200000"/>
    <n v="721704"/>
    <n v="478296"/>
  </r>
  <r>
    <s v="R - CV - 6484 - 11 - 2020"/>
    <s v="PRESTAMO"/>
    <s v="RAFAEL LOPEZ TURCIOS"/>
    <x v="28"/>
    <s v="MUERTE"/>
    <d v="2020-08-06T00:00:00"/>
    <d v="2020-11-09T00:00:00"/>
    <d v="2021-05-25T00:00:00"/>
    <n v="110312.31999999999"/>
    <m/>
    <m/>
    <m/>
  </r>
  <r>
    <s v="R - CV - 6528 - 11 - 2020"/>
    <s v="AHORRO PINOS DE ORO"/>
    <s v="RAFAEL LOPEZ TURCIOS"/>
    <x v="28"/>
    <s v="MUERTE"/>
    <d v="2020-08-06T00:00:00"/>
    <d v="2020-11-09T00:00:00"/>
    <d v="2021-01-22T00:00:00"/>
    <n v="31084.85"/>
    <m/>
    <m/>
    <m/>
  </r>
  <r>
    <s v="R - CV - 151 - 12 - 2020"/>
    <s v="DIRECTIVOS Y EMPLEADOS"/>
    <s v="RAFAEL LOPEZ TURCIOS"/>
    <x v="28"/>
    <s v="MUERTE"/>
    <d v="2020-08-06T00:00:00"/>
    <d v="2020-12-15T00:00:00"/>
    <d v="2021-01-25T00:00:00"/>
    <n v="525000"/>
    <m/>
    <m/>
    <m/>
  </r>
  <r>
    <s v="R - CV - 8290 - 09 - 2021"/>
    <s v="PRESTAMO"/>
    <s v="RAFAEL LOPEZ TURCIOS"/>
    <x v="28"/>
    <s v="MUERTE"/>
    <d v="2020-08-06T00:00:00"/>
    <d v="2021-09-14T00:00:00"/>
    <d v="2021-11-08T00:00:00"/>
    <n v="79698.490000000005"/>
    <m/>
    <m/>
    <m/>
  </r>
  <r>
    <s v="R - CV - 8492 - 09 - 2021"/>
    <s v="AHORRO PINOS DE ORO"/>
    <s v="RAFAEL LOPEZ TURCIOS"/>
    <x v="28"/>
    <s v="MUERTE"/>
    <d v="2020-08-06T00:00:00"/>
    <d v="2021-09-14T00:00:00"/>
    <d v="2021-11-08T00:00:00"/>
    <n v="23774.55"/>
    <n v="769870.21"/>
    <n v="721704"/>
    <n v="48166.209999999963"/>
  </r>
  <r>
    <s v="R-CV-6388-11-2020"/>
    <s v="PRESTAMO"/>
    <s v="RAUL STALIN DIAZ MONTOYA"/>
    <x v="26"/>
    <s v="MUERTE"/>
    <d v="2020-09-08T00:00:00"/>
    <d v="2020-11-24T00:00:00"/>
    <d v="2020-12-22T00:00:00"/>
    <n v="1519610.9"/>
    <m/>
    <m/>
    <m/>
  </r>
  <r>
    <s v="R-CV-6419-11-2020"/>
    <s v="AHORRO PINOS DE ORO"/>
    <s v="RAUL STALIN DIAZ MONTOYA"/>
    <x v="26"/>
    <s v="MUERTE"/>
    <d v="2020-09-08T00:00:00"/>
    <d v="2020-11-24T00:00:00"/>
    <d v="2020-12-10T00:00:00"/>
    <n v="87500"/>
    <m/>
    <m/>
    <m/>
  </r>
  <r>
    <s v="R-CV-6457-11-2020"/>
    <s v="PRESTAMO"/>
    <s v="RAUL STALIN DIAZ MONTOYA"/>
    <x v="26"/>
    <s v="MUERTE"/>
    <d v="2020-09-08T00:00:00"/>
    <d v="2020-11-26T00:00:00"/>
    <d v="2020-12-10T00:00:00"/>
    <n v="83565.75"/>
    <m/>
    <m/>
    <m/>
  </r>
  <r>
    <s v="R-CV-6493-11-2020"/>
    <s v="AHORRO PINOS DE ORO"/>
    <s v="RAUL STALIN DIAZ MONTOYA"/>
    <x v="26"/>
    <s v="MUERTE"/>
    <d v="2020-09-08T00:00:00"/>
    <d v="2020-11-26T00:00:00"/>
    <d v="2020-12-10T00:00:00"/>
    <n v="28972.99"/>
    <n v="1719649.64"/>
    <n v="721704"/>
    <n v="997945.6399999999"/>
  </r>
  <r>
    <s v="R - CV - 104 - 09 - 2020"/>
    <s v="SALDO DE DEUDA"/>
    <s v="RENE RODRIGUEZ LOPEZ"/>
    <x v="1"/>
    <s v="MUERTE"/>
    <d v="2020-07-13T00:00:00"/>
    <d v="2020-08-20T00:00:00"/>
    <d v="2020-10-13T00:00:00"/>
    <n v="1591777.5"/>
    <m/>
    <m/>
    <m/>
  </r>
  <r>
    <s v="R - CV - 5693 - 09 - 2020"/>
    <s v="AMPARO FÚNEBRE MASIVO"/>
    <s v="RENE RODRIGUEZ LOPEZ"/>
    <x v="1"/>
    <s v="MUERTE"/>
    <d v="2020-07-13T00:00:00"/>
    <d v="2020-08-20T00:00:00"/>
    <d v="2020-10-13T00:00:00"/>
    <n v="7000"/>
    <m/>
    <m/>
    <m/>
  </r>
  <r>
    <s v="R - CV - 5866 - 09 - 2020"/>
    <s v="PRESTAMO"/>
    <s v="RENE RODRIGUEZ LOPEZ"/>
    <x v="1"/>
    <s v="MUERTE"/>
    <d v="2020-07-13T00:00:00"/>
    <d v="2020-08-20T00:00:00"/>
    <d v="2020-10-13T00:00:00"/>
    <n v="1000000"/>
    <m/>
    <m/>
    <m/>
  </r>
  <r>
    <s v="R - CV - 5904 - 09 - 2020"/>
    <s v="AHORRO PINOS DE ORO"/>
    <s v="RENE RODRIGUEZ LOPEZ"/>
    <x v="1"/>
    <s v="MUERTE"/>
    <d v="2020-07-13T00:00:00"/>
    <d v="2020-08-20T00:00:00"/>
    <d v="2020-10-13T00:00:00"/>
    <n v="104500"/>
    <m/>
    <m/>
    <m/>
  </r>
  <r>
    <s v="R - CV - 104 - 09 - 2020"/>
    <s v="SALDO DE DEUDA"/>
    <s v="RENE RODRIGUEZ LOPEZ"/>
    <x v="1"/>
    <s v="MUERTE"/>
    <d v="2020-07-13T00:00:00"/>
    <d v="2020-08-20T00:00:00"/>
    <d v="2020-11-26T00:00:00"/>
    <n v="408222.5"/>
    <n v="3111500"/>
    <n v="721704"/>
    <n v="2389796"/>
  </r>
  <r>
    <s v="R - CV - 6599 - 12 - 2020"/>
    <s v="PRESTAMO"/>
    <s v="RICARDO MAURICIO RODRIGUEZ ROBLES"/>
    <x v="1"/>
    <s v="MUERTE"/>
    <d v="2020-06-18T00:00:00"/>
    <d v="2020-12-22T00:00:00"/>
    <d v="2021-03-03T00:00:00"/>
    <n v="1512213.72"/>
    <m/>
    <m/>
    <m/>
  </r>
  <r>
    <s v="R - CV - 6660 - 12 - 2020"/>
    <s v="AHORRO PINOS DE ORO"/>
    <s v="RICARDO MAURICIO RODRIGUEZ ROBLES"/>
    <x v="1"/>
    <s v="MUERTE"/>
    <d v="2020-06-18T00:00:00"/>
    <d v="2020-12-21T00:00:00"/>
    <d v="2020-12-29T00:00:00"/>
    <n v="87500"/>
    <n v="1599713.72"/>
    <n v="721704"/>
    <n v="878009.72"/>
  </r>
  <r>
    <s v="R - CV - 5822 - 08 - 2020"/>
    <s v="PRESTAMO"/>
    <s v="RIGOBERTO GONZALES FUNEZ"/>
    <x v="6"/>
    <s v="MUERTE"/>
    <d v="2020-07-09T00:00:00"/>
    <d v="2020-08-13T00:00:00"/>
    <d v="2020-10-19T00:00:00"/>
    <n v="741600"/>
    <m/>
    <m/>
    <m/>
  </r>
  <r>
    <s v="R - CV - 5826 - 08 - 2020"/>
    <s v="AHORRO PINOS DE ORO"/>
    <s v="RIGOBERTO GONZALES FUNEZ"/>
    <x v="6"/>
    <s v="MUERTE"/>
    <d v="2020-07-09T00:00:00"/>
    <d v="2020-08-13T00:00:00"/>
    <d v="2020-10-14T00:00:00"/>
    <n v="31255.41"/>
    <n v="772855.41"/>
    <n v="721704"/>
    <n v="51151.410000000033"/>
  </r>
  <r>
    <s v="R - CV - 5762 - 07 - 2020"/>
    <s v="AHORRO PINOS DE ORO"/>
    <s v="SANTOS PASTOR CASTILLO ESCOBAR"/>
    <x v="3"/>
    <s v="MUERTE"/>
    <d v="2020-06-20T00:00:00"/>
    <d v="2020-07-21T00:00:00"/>
    <d v="2020-08-06T00:00:00"/>
    <n v="165000"/>
    <m/>
    <m/>
    <m/>
  </r>
  <r>
    <s v="R - CV - 5765 - 07 - 2020"/>
    <s v="PRESTAMO"/>
    <s v="SANTOS PASTOR CASTILLO ESCOBAR"/>
    <x v="3"/>
    <s v="MUERTE"/>
    <d v="2020-06-20T00:00:00"/>
    <d v="2020-07-21T00:00:00"/>
    <d v="2020-08-12T00:00:00"/>
    <n v="1412000"/>
    <n v="1577000"/>
    <n v="721704"/>
    <n v="855296"/>
  </r>
  <r>
    <s v="R-CV-6061-09-2020"/>
    <s v="PRESTAMO"/>
    <s v="SONIA LUZ RODRIGUEZ"/>
    <x v="26"/>
    <s v="MUERTE"/>
    <d v="2020-07-07T00:00:00"/>
    <d v="2020-09-28T00:00:00"/>
    <d v="2020-10-09T00:00:00"/>
    <n v="820548.57"/>
    <m/>
    <m/>
    <m/>
  </r>
  <r>
    <s v="R-CV-6077-09-2020"/>
    <s v="AHORRO PINOS DE ORO"/>
    <s v="SONIA LUZ RODRIGUEZ"/>
    <x v="26"/>
    <s v="MUERTE"/>
    <d v="2020-07-07T00:00:00"/>
    <d v="2020-09-28T00:00:00"/>
    <d v="2020-10-09T00:00:00"/>
    <n v="24968.25"/>
    <m/>
    <m/>
    <m/>
  </r>
  <r>
    <s v="R-CV-6061-09-2020"/>
    <s v="PRESTAMO"/>
    <s v="SONIA LUZ RODRIGUEZ"/>
    <x v="26"/>
    <s v="MUERTE"/>
    <d v="2020-07-07T00:00:00"/>
    <d v="2020-09-28T00:00:00"/>
    <d v="2020-11-26T00:00:00"/>
    <n v="61176.45"/>
    <n v="906693.2699999999"/>
    <n v="721704"/>
    <n v="184989.2699999999"/>
  </r>
  <r>
    <s v="R - CV - 6794 - 02 - 2021"/>
    <s v="PRESTAMO"/>
    <s v="WILFREDO FUNEZ ALVAREZ"/>
    <x v="8"/>
    <s v="MUERTE"/>
    <d v="2020-11-26T00:00:00"/>
    <d v="2021-02-03T00:00:00"/>
    <d v="2021-02-11T00:00:00"/>
    <n v="38506.32"/>
    <m/>
    <m/>
    <m/>
  </r>
  <r>
    <s v="R - CV - 6963 - 02 - 2021"/>
    <s v="AHORRO PINOS DE ORO"/>
    <s v="WILFREDO FUNEZ ALVAREZ"/>
    <x v="8"/>
    <s v="MUERTE"/>
    <d v="2020-11-26T00:00:00"/>
    <d v="2021-02-03T00:00:00"/>
    <d v="2021-02-11T00:00:00"/>
    <n v="54030.03"/>
    <m/>
    <m/>
    <m/>
  </r>
  <r>
    <s v="R - CV - 7485 - 04 - 2021"/>
    <s v="PRESTAMO"/>
    <s v="WILFREDO FUNEZ ALVAREZ"/>
    <x v="8"/>
    <s v="MUERTE"/>
    <d v="2020-11-26T00:00:00"/>
    <d v="2021-04-28T00:00:00"/>
    <d v="2021-06-25T00:00:00"/>
    <n v="810000"/>
    <m/>
    <m/>
    <m/>
  </r>
  <r>
    <s v="R - CV - 7506 - 04 - 2021"/>
    <s v="AHORRO PINOS DE ORO"/>
    <s v="WILFREDO FUNEZ ALVAREZ"/>
    <x v="8"/>
    <s v="MUERTE"/>
    <d v="2020-11-26T00:00:00"/>
    <d v="2021-04-28T00:00:00"/>
    <d v="2021-06-23T00:00:00"/>
    <n v="165000"/>
    <n v="1067536.3500000001"/>
    <n v="721704"/>
    <n v="345832.3500000000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R - CV - 112 - 05 - 2021"/>
    <s v="SALDO DE DEUDA"/>
    <s v="ALBERT ALEXANDER GRANT CASTRO"/>
    <x v="0"/>
    <s v="MUERTE"/>
    <d v="2021-04-10T00:00:00"/>
    <d v="2021-05-12T00:00:00"/>
    <d v="2021-07-02T00:00:00"/>
    <n v="1500000"/>
    <m/>
    <m/>
    <m/>
  </r>
  <r>
    <s v="R - CV - 6012 - 05 - 2021"/>
    <s v="AMPARO FÚNEBRE MASIVO"/>
    <s v="ALBERT ALEXANDER GRANT CASTRO"/>
    <x v="0"/>
    <s v="MUERTE"/>
    <d v="2021-04-10T00:00:00"/>
    <d v="2021-05-04T00:00:00"/>
    <d v="2021-05-12T00:00:00"/>
    <n v="20000"/>
    <m/>
    <m/>
    <m/>
  </r>
  <r>
    <s v="R - CV - 7494 - 05 - 2021"/>
    <s v="PRESTAMO"/>
    <s v="ALBERT ALEXANDER GRANT CASTRO"/>
    <x v="1"/>
    <s v="MUERTE"/>
    <d v="2021-04-10T00:00:00"/>
    <d v="2021-05-04T00:00:00"/>
    <d v="2021-07-02T00:00:00"/>
    <n v="1000000"/>
    <m/>
    <m/>
    <m/>
  </r>
  <r>
    <s v="R - CV - 7513 - 05 - 2021"/>
    <s v="AHORRO PINOS DE ORO"/>
    <s v="ALBERT ALEXANDER GRANT CASTRO"/>
    <x v="1"/>
    <s v="MUERTE"/>
    <d v="2021-04-10T00:00:00"/>
    <d v="2021-05-04T00:00:00"/>
    <d v="2021-05-12T00:00:00"/>
    <n v="32500"/>
    <n v="2552500"/>
    <n v="721704"/>
    <n v="1830796"/>
  </r>
  <r>
    <s v="R - SS - 66 - 08 - 2021"/>
    <s v="AMPARO FUNEBRE"/>
    <s v="ALEX NAHUN MOLINA OLIVA"/>
    <x v="2"/>
    <s v="MUERTE"/>
    <d v="2021-06-15T00:00:00"/>
    <d v="2021-08-14T00:00:00"/>
    <d v="2021-10-25T00:00:00"/>
    <n v="20000"/>
    <m/>
    <m/>
    <m/>
  </r>
  <r>
    <s v="R - CV - 185 - 08 - 2021"/>
    <s v="DIRECTIVOS Y EMPLEADOS"/>
    <s v="ALEX NAHUN MOLINA OLIVA"/>
    <x v="2"/>
    <s v="MUERTE"/>
    <d v="2021-06-15T00:00:00"/>
    <d v="2021-08-14T00:00:00"/>
    <d v="2021-10-25T00:00:00"/>
    <n v="510000"/>
    <m/>
    <m/>
    <m/>
  </r>
  <r>
    <s v="R - CV - 8115 - 08 - 2021"/>
    <s v="PRESTAMO"/>
    <s v="ALEX NAHUN MOLINA OLIVA"/>
    <x v="2"/>
    <s v="MUERTE"/>
    <d v="2021-06-15T00:00:00"/>
    <d v="2021-08-14T00:00:00"/>
    <d v="2021-11-22T00:00:00"/>
    <n v="346298.37"/>
    <m/>
    <m/>
    <m/>
  </r>
  <r>
    <s v="R - CV - 8293 - 08 - 2021"/>
    <s v="AHORRO PINOS DE ORO"/>
    <s v="ALEX NAHUN MOLINA OLIVA"/>
    <x v="2"/>
    <s v="MUERTE"/>
    <d v="2021-06-15T00:00:00"/>
    <d v="2021-08-14T00:00:00"/>
    <d v="2021-10-25T00:00:00"/>
    <n v="90041.65"/>
    <n v="966340.02"/>
    <n v="721704"/>
    <n v="244636.02000000002"/>
  </r>
  <r>
    <s v="R - CV - 190 - 09 - 2021"/>
    <s v="DIRECTIVOS Y EMPLEADOS"/>
    <s v="ALEXANDER FLORES CRUZ"/>
    <x v="3"/>
    <s v="MUERTE"/>
    <d v="2021-08-18T00:00:00"/>
    <d v="2021-09-20T00:00:00"/>
    <d v="2021-11-26T00:00:00"/>
    <n v="2010000"/>
    <n v="2010000"/>
    <n v="721704"/>
    <n v="1288296"/>
  </r>
  <r>
    <s v="R - CV - 8142 - 08 - 2021"/>
    <s v="PRESTAMO"/>
    <s v="BERTA ALICIA MATA ARCE"/>
    <x v="4"/>
    <s v="MUERTE"/>
    <d v="2021-07-03T00:00:00"/>
    <d v="2021-08-17T00:00:00"/>
    <d v="2021-10-11T00:00:00"/>
    <n v="833316.19"/>
    <m/>
    <m/>
    <m/>
  </r>
  <r>
    <s v="R - CV - 8307 - 08 - 2021"/>
    <s v="AHORRO PINOS DE ORO"/>
    <s v="BERTA ALICIA MATA ARCE"/>
    <x v="4"/>
    <s v="MUERTE"/>
    <d v="2021-07-03T00:00:00"/>
    <d v="2021-08-17T00:00:00"/>
    <d v="2021-11-17T00:00:00"/>
    <n v="72663.759999999995"/>
    <n v="905979.95"/>
    <n v="721704"/>
    <n v="184275.94999999995"/>
  </r>
  <r>
    <s v="R - CV - 7673 - 05 - 2021"/>
    <s v="AHORRO PINOS DE ORO"/>
    <s v="CARLOS HUMBERTO RODRIGUEZ GIL"/>
    <x v="5"/>
    <s v="MUERTE"/>
    <d v="2021-05-08T00:00:00"/>
    <d v="2021-05-20T00:00:00"/>
    <d v="2021-07-15T00:00:00"/>
    <n v="104500"/>
    <m/>
    <m/>
    <m/>
  </r>
  <r>
    <s v="R - CV - 7872 - 07 - 2021"/>
    <s v="PRESTAMO"/>
    <s v="CARLOS HUMBERTO RODRIGUEZ GIL"/>
    <x v="5"/>
    <s v="MUERTE"/>
    <d v="2021-05-08T00:00:00"/>
    <d v="2021-07-15T00:00:00"/>
    <d v="2021-11-01T00:00:00"/>
    <n v="677580.44"/>
    <n v="782080.44"/>
    <n v="721704"/>
    <n v="60376.439999999944"/>
  </r>
  <r>
    <s v="R - CV - 7072 - 03 - 2021"/>
    <s v="PRESTAMO"/>
    <s v="CECIA LISSETH GUILLEN SABILLON"/>
    <x v="3"/>
    <s v="MUERTE"/>
    <d v="2021-01-18T00:00:00"/>
    <d v="2021-03-24T00:00:00"/>
    <d v="2021-04-27T00:00:00"/>
    <n v="880000"/>
    <n v="880000"/>
    <n v="721704"/>
    <n v="158296"/>
  </r>
  <r>
    <s v="R - CV - 8124 - 08 - 2021"/>
    <s v="PRESTAMO"/>
    <s v="CELSA MARINA PONCE ZUNIGA"/>
    <x v="6"/>
    <s v="MUERTE"/>
    <d v="2021-06-03T00:00:00"/>
    <d v="2021-08-16T00:00:00"/>
    <d v="2021-12-28T00:00:00"/>
    <n v="1489623"/>
    <n v="1489623"/>
    <n v="721704"/>
    <n v="767919"/>
  </r>
  <r>
    <s v="R - CV - 6899 - 02 - 2021"/>
    <s v="PRESTAMO"/>
    <s v="DONALDO MARTINEZ"/>
    <x v="3"/>
    <s v="MUERTE"/>
    <d v="2021-01-17T00:00:00"/>
    <d v="2021-02-01T00:00:00"/>
    <d v="2021-04-28T00:00:00"/>
    <n v="830820.96"/>
    <n v="830820.96"/>
    <n v="721704"/>
    <n v="109116.95999999996"/>
  </r>
  <r>
    <s v="R - CV - 7221 - 04 - 2021"/>
    <s v="PRESTAMO"/>
    <s v="EDAS ARNOLDO ORDOÑEZ MEJIA"/>
    <x v="3"/>
    <s v="MUERTE"/>
    <d v="2021-03-26T00:00:00"/>
    <d v="2021-04-21T00:00:00"/>
    <d v="2021-05-28T00:00:00"/>
    <n v="1079430.44"/>
    <m/>
    <m/>
    <m/>
  </r>
  <r>
    <s v="R - CV - 7437 - 04 - 2021"/>
    <s v="AHORRO PINOS DE ORO"/>
    <s v="EDAS ARNOLDO ORDOÑEZ MEJIA"/>
    <x v="3"/>
    <s v="MUERTE"/>
    <d v="2021-03-26T00:00:00"/>
    <d v="2021-04-21T00:00:00"/>
    <d v="2021-05-28T00:00:00"/>
    <n v="87500"/>
    <n v="1166930.44"/>
    <n v="721704"/>
    <n v="445226.43999999994"/>
  </r>
  <r>
    <s v="R - CV - 184 - 08 - 2021"/>
    <s v="DIRECTIVOS Y EMPLEADOS"/>
    <s v="EDGARDO MURILLO CASTILLO"/>
    <x v="7"/>
    <s v="MUERTE"/>
    <d v="2021-01-24T00:00:00"/>
    <d v="2021-08-12T00:00:00"/>
    <d v="2021-10-04T00:00:00"/>
    <n v="10150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U9:U76" firstHeaderRow="1" firstDataRow="1" firstDataCol="1"/>
  <pivotFields count="13">
    <pivotField showAll="0"/>
    <pivotField showAll="0"/>
    <pivotField axis="axisRow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numFmtId="14" showAll="0"/>
    <pivotField numFmtId="14" showAll="0"/>
    <pivotField numFmtId="14" showAll="0"/>
    <pivotField numFmtId="168" showAll="0"/>
    <pivotField showAll="0"/>
    <pivotField showAll="0"/>
    <pivotField showAll="0"/>
    <pivotField showAll="0"/>
  </pivotFields>
  <rowFields count="1">
    <field x="2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Items count="1">
    <i/>
  </colItems>
  <formats count="8">
    <format dxfId="76">
      <pivotArea type="all" dataOnly="0" outline="0" fieldPosition="0"/>
    </format>
    <format dxfId="75">
      <pivotArea field="2" type="button" dataOnly="0" labelOnly="1" outline="0" axis="axisRow" fieldPosition="0"/>
    </format>
    <format dxfId="7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3">
      <pivotArea dataOnly="0" labelOnly="1" fieldPosition="0">
        <references count="1">
          <reference field="2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72">
      <pivotArea dataOnly="0" labelOnly="1" grandRow="1" outline="0" fieldPosition="0"/>
    </format>
    <format dxfId="7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0">
      <pivotArea dataOnly="0" labelOnly="1" fieldPosition="0">
        <references count="1">
          <reference field="2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6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1000000}" name="Tabla 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T8:U38" firstHeaderRow="1" firstDataRow="1" firstDataCol="1"/>
  <pivotFields count="12">
    <pivotField showAll="0"/>
    <pivotField showAll="0"/>
    <pivotField showAll="0"/>
    <pivotField axis="axisRow" showAll="0">
      <items count="31">
        <item x="18"/>
        <item x="23"/>
        <item x="12"/>
        <item x="27"/>
        <item x="25"/>
        <item x="20"/>
        <item x="21"/>
        <item x="2"/>
        <item x="6"/>
        <item x="8"/>
        <item x="5"/>
        <item x="14"/>
        <item x="3"/>
        <item m="1" x="29"/>
        <item x="16"/>
        <item x="17"/>
        <item x="0"/>
        <item x="4"/>
        <item x="15"/>
        <item x="11"/>
        <item x="24"/>
        <item x="7"/>
        <item x="19"/>
        <item x="9"/>
        <item x="10"/>
        <item x="1"/>
        <item x="26"/>
        <item x="22"/>
        <item x="13"/>
        <item x="28"/>
        <item t="default"/>
      </items>
    </pivotField>
    <pivotField showAll="0"/>
    <pivotField numFmtId="14" showAll="0"/>
    <pivotField numFmtId="14" showAll="0"/>
    <pivotField showAll="0"/>
    <pivotField dataField="1" numFmtId="167" showAll="0"/>
    <pivotField showAll="0"/>
    <pivotField showAll="0"/>
    <pivotField showAll="0"/>
  </pivotFields>
  <rowFields count="1">
    <field x="3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Monto pagado por Plan" fld="8" baseField="0" baseItem="0" numFmtId="166"/>
  </dataFields>
  <formats count="7"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3" type="button" dataOnly="0" labelOnly="1" outline="0" axis="axisRow" fieldPosition="0"/>
    </format>
    <format dxfId="64">
      <pivotArea dataOnly="0" labelOnly="1" fieldPosition="0">
        <references count="1">
          <reference field="3" count="0"/>
        </references>
      </pivotArea>
    </format>
    <format dxfId="63">
      <pivotArea dataOnly="0" labelOnly="1" grandRow="1" outline="0" fieldPosition="0"/>
    </format>
    <format dxfId="6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Tabla 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V8:W17" firstHeaderRow="1" firstDataRow="1" firstDataCol="1"/>
  <pivotFields count="12">
    <pivotField showAll="0"/>
    <pivotField showAll="0"/>
    <pivotField showAll="0"/>
    <pivotField axis="axisRow" showAll="0">
      <items count="11">
        <item x="3"/>
        <item m="1" x="8"/>
        <item m="1" x="9"/>
        <item x="0"/>
        <item x="1"/>
        <item x="2"/>
        <item x="4"/>
        <item x="5"/>
        <item x="6"/>
        <item x="7"/>
        <item t="default"/>
      </items>
    </pivotField>
    <pivotField showAll="0"/>
    <pivotField numFmtId="170" showAll="0"/>
    <pivotField numFmtId="170" showAll="0"/>
    <pivotField numFmtId="170" showAll="0"/>
    <pivotField dataField="1" numFmtId="167" showAll="0"/>
    <pivotField showAll="0"/>
    <pivotField showAll="0"/>
    <pivotField showAll="0"/>
  </pivotFields>
  <rowFields count="1">
    <field x="3"/>
  </rowFields>
  <rowItems count="9">
    <i>
      <x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Monto pagado por Plan" fld="8" baseField="0" baseItem="0" numFmtId="166"/>
  </dataFields>
  <formats count="10">
    <format dxfId="61">
      <pivotArea outline="0" collapsedLevelsAreSubtotals="1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3" type="button" dataOnly="0" labelOnly="1" outline="0" axis="axisRow" fieldPosition="0"/>
    </format>
    <format dxfId="57">
      <pivotArea dataOnly="0" labelOnly="1" fieldPosition="0">
        <references count="1">
          <reference field="3" count="0"/>
        </references>
      </pivotArea>
    </format>
    <format dxfId="56">
      <pivotArea dataOnly="0" labelOnly="1" grandRow="1" outline="0" fieldPosition="0"/>
    </format>
    <format dxfId="55">
      <pivotArea dataOnly="0" labelOnly="1" outline="0" axis="axisValues" fieldPosition="0"/>
    </format>
    <format dxfId="54">
      <pivotArea outline="0" collapsedLevelsAreSubtotals="1" fieldPosition="0"/>
    </format>
    <format dxfId="53">
      <pivotArea dataOnly="0" labelOnly="1" fieldPosition="0">
        <references count="1">
          <reference field="3" count="0"/>
        </references>
      </pivotArea>
    </format>
    <format dxfId="5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3000000}" name="Tabla 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V8:W17" firstHeaderRow="1" firstDataRow="1" firstDataCol="1"/>
  <pivotFields count="12">
    <pivotField showAll="0"/>
    <pivotField showAll="0"/>
    <pivotField showAll="0"/>
    <pivotField axis="axisRow" showAll="0">
      <items count="11">
        <item x="3"/>
        <item m="1" x="8"/>
        <item m="1" x="9"/>
        <item x="0"/>
        <item x="1"/>
        <item x="2"/>
        <item x="4"/>
        <item x="5"/>
        <item x="6"/>
        <item x="7"/>
        <item t="default"/>
      </items>
    </pivotField>
    <pivotField showAll="0"/>
    <pivotField numFmtId="170" showAll="0"/>
    <pivotField numFmtId="170" showAll="0"/>
    <pivotField numFmtId="170" showAll="0"/>
    <pivotField dataField="1" numFmtId="167" showAll="0"/>
    <pivotField showAll="0"/>
    <pivotField showAll="0"/>
    <pivotField showAll="0"/>
  </pivotFields>
  <rowFields count="1">
    <field x="3"/>
  </rowFields>
  <rowItems count="9">
    <i>
      <x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Monto pagado por Plan" fld="8" baseField="0" baseItem="0" numFmtId="166"/>
  </dataFields>
  <formats count="10"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dataOnly="0" labelOnly="1" fieldPosition="0">
        <references count="1">
          <reference field="3" count="0"/>
        </references>
      </pivotArea>
    </format>
    <format dxfId="48">
      <pivotArea dataOnly="0" labelOnly="1" grandRow="1" outline="0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3" type="button" dataOnly="0" labelOnly="1" outline="0" axis="axisRow" fieldPosition="0"/>
    </format>
    <format dxfId="44">
      <pivotArea dataOnly="0" labelOnly="1" fieldPosition="0">
        <references count="1">
          <reference field="3" count="0"/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4000000}" name="Tabla 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V8:W17" firstHeaderRow="1" firstDataRow="1" firstDataCol="1"/>
  <pivotFields count="12">
    <pivotField showAll="0"/>
    <pivotField showAll="0"/>
    <pivotField showAll="0"/>
    <pivotField axis="axisRow" showAll="0">
      <items count="11">
        <item x="3"/>
        <item m="1" x="8"/>
        <item m="1" x="9"/>
        <item x="0"/>
        <item x="1"/>
        <item x="2"/>
        <item x="4"/>
        <item x="5"/>
        <item x="6"/>
        <item x="7"/>
        <item t="default"/>
      </items>
    </pivotField>
    <pivotField showAll="0"/>
    <pivotField numFmtId="170" showAll="0"/>
    <pivotField numFmtId="170" showAll="0"/>
    <pivotField numFmtId="170" showAll="0"/>
    <pivotField dataField="1" numFmtId="167" showAll="0"/>
    <pivotField showAll="0"/>
    <pivotField showAll="0"/>
    <pivotField showAll="0"/>
  </pivotFields>
  <rowFields count="1">
    <field x="3"/>
  </rowFields>
  <rowItems count="9">
    <i>
      <x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Monto pagado por Plan" fld="8" baseField="0" baseItem="0" numFmtId="166"/>
  </dataFields>
  <formats count="1">
    <format dxfId="4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 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V8:W17" firstHeaderRow="1" firstDataRow="1" firstDataCol="1"/>
  <pivotFields count="12">
    <pivotField showAll="0"/>
    <pivotField showAll="0"/>
    <pivotField showAll="0"/>
    <pivotField axis="axisRow" showAll="0">
      <items count="11">
        <item x="3"/>
        <item m="1" x="8"/>
        <item m="1" x="9"/>
        <item x="0"/>
        <item x="1"/>
        <item x="2"/>
        <item x="4"/>
        <item x="5"/>
        <item x="6"/>
        <item x="7"/>
        <item t="default"/>
      </items>
    </pivotField>
    <pivotField showAll="0"/>
    <pivotField numFmtId="170" showAll="0"/>
    <pivotField numFmtId="170" showAll="0"/>
    <pivotField numFmtId="170" showAll="0"/>
    <pivotField dataField="1" numFmtId="167" showAll="0"/>
    <pivotField showAll="0"/>
    <pivotField showAll="0"/>
    <pivotField showAll="0"/>
  </pivotFields>
  <rowFields count="1">
    <field x="3"/>
  </rowFields>
  <rowItems count="9">
    <i>
      <x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Monto pagado por Plan" fld="8" baseField="0" baseItem="0" numFmtId="166"/>
  </dataFields>
  <formats count="7"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3" type="button" dataOnly="0" labelOnly="1" outline="0" axis="axisRow" fieldPosition="0"/>
    </format>
    <format dxfId="36">
      <pivotArea dataOnly="0" labelOnly="1" fieldPosition="0">
        <references count="1">
          <reference field="3" count="0"/>
        </references>
      </pivotArea>
    </format>
    <format dxfId="35">
      <pivotArea dataOnly="0" labelOnly="1" grandRow="1" outline="0" fieldPosition="0"/>
    </format>
    <format dxfId="3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6000000}" name="Tabla 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V8:W17" firstHeaderRow="1" firstDataRow="1" firstDataCol="1"/>
  <pivotFields count="12">
    <pivotField showAll="0"/>
    <pivotField showAll="0"/>
    <pivotField showAll="0"/>
    <pivotField axis="axisRow" showAll="0">
      <items count="11">
        <item x="3"/>
        <item m="1" x="8"/>
        <item m="1" x="9"/>
        <item x="0"/>
        <item x="1"/>
        <item x="2"/>
        <item x="4"/>
        <item x="5"/>
        <item x="6"/>
        <item x="7"/>
        <item t="default"/>
      </items>
    </pivotField>
    <pivotField showAll="0"/>
    <pivotField numFmtId="170" showAll="0"/>
    <pivotField numFmtId="170" showAll="0"/>
    <pivotField numFmtId="170" showAll="0"/>
    <pivotField dataField="1" numFmtId="167" showAll="0"/>
    <pivotField showAll="0"/>
    <pivotField showAll="0"/>
    <pivotField showAll="0"/>
  </pivotFields>
  <rowFields count="1">
    <field x="3"/>
  </rowFields>
  <rowItems count="9">
    <i>
      <x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Monto pagado por Plan" fld="8" baseField="0" baseItem="0" numFmtId="166"/>
  </dataFields>
  <formats count="17">
    <format dxfId="33">
      <pivotArea outline="0" collapsedLevelsAreSubtotals="1" fieldPosition="0"/>
    </format>
    <format dxfId="32">
      <pivotArea type="all" dataOnly="0" outline="0" fieldPosition="0"/>
    </format>
    <format dxfId="31">
      <pivotArea dataOnly="0" labelOnly="1" fieldPosition="0">
        <references count="1">
          <reference field="3" count="0"/>
        </references>
      </pivotArea>
    </format>
    <format dxfId="30">
      <pivotArea collapsedLevelsAreSubtotals="1" fieldPosition="0">
        <references count="1">
          <reference field="3" count="2">
            <x v="5"/>
            <x v="6"/>
          </reference>
        </references>
      </pivotArea>
    </format>
    <format dxfId="29">
      <pivotArea dataOnly="0" labelOnly="1" fieldPosition="0">
        <references count="1">
          <reference field="3" count="2">
            <x v="5"/>
            <x v="6"/>
          </reference>
        </references>
      </pivotArea>
    </format>
    <format dxfId="28">
      <pivotArea collapsedLevelsAreSubtotals="1" fieldPosition="0">
        <references count="1">
          <reference field="3" count="1">
            <x v="0"/>
          </reference>
        </references>
      </pivotArea>
    </format>
    <format dxfId="27">
      <pivotArea dataOnly="0" labelOnly="1" fieldPosition="0">
        <references count="1">
          <reference field="3" count="1">
            <x v="0"/>
          </reference>
        </references>
      </pivotArea>
    </format>
    <format dxfId="26">
      <pivotArea collapsedLevelsAreSubtotals="1" fieldPosition="0">
        <references count="1">
          <reference field="3" count="1">
            <x v="9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fieldPosition="0">
        <references count="1">
          <reference field="3" count="1">
            <x v="9"/>
          </reference>
        </references>
      </pivotArea>
    </format>
    <format dxfId="23">
      <pivotArea dataOnly="0" labelOnly="1" grandRow="1" outline="0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3" type="button" dataOnly="0" labelOnly="1" outline="0" axis="axisRow" fieldPosition="0"/>
    </format>
    <format dxfId="19">
      <pivotArea dataOnly="0" labelOnly="1" fieldPosition="0">
        <references count="1">
          <reference field="3" count="0"/>
        </references>
      </pivotArea>
    </format>
    <format dxfId="18">
      <pivotArea dataOnly="0" labelOnly="1" grandRow="1" outline="0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BB0F82-BA69-4887-BB23-53D3DED67B22}" name="Tabla diná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>
  <location ref="V8:W17" firstHeaderRow="1" firstDataRow="1" firstDataCol="1"/>
  <pivotFields count="12">
    <pivotField showAll="0"/>
    <pivotField showAll="0"/>
    <pivotField showAll="0"/>
    <pivotField axis="axisRow" showAll="0">
      <items count="11">
        <item x="3"/>
        <item m="1" x="8"/>
        <item m="1" x="9"/>
        <item x="0"/>
        <item x="1"/>
        <item x="2"/>
        <item x="4"/>
        <item x="5"/>
        <item x="6"/>
        <item x="7"/>
        <item t="default"/>
      </items>
    </pivotField>
    <pivotField showAll="0"/>
    <pivotField numFmtId="170" showAll="0"/>
    <pivotField numFmtId="170" showAll="0"/>
    <pivotField numFmtId="170" showAll="0"/>
    <pivotField dataField="1" numFmtId="167" showAll="0"/>
    <pivotField showAll="0"/>
    <pivotField showAll="0"/>
    <pivotField showAll="0"/>
  </pivotFields>
  <rowFields count="1">
    <field x="3"/>
  </rowFields>
  <rowItems count="9">
    <i>
      <x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Monto pagado por Plan" fld="8" baseField="0" baseItem="0" numFmtId="166"/>
  </dataFields>
  <formats count="17">
    <format dxfId="16">
      <pivotArea outline="0" collapsedLevelsAreSubtotals="1" fieldPosition="0"/>
    </format>
    <format dxfId="15">
      <pivotArea type="all" dataOnly="0" outline="0" fieldPosition="0"/>
    </format>
    <format dxfId="14">
      <pivotArea dataOnly="0" labelOnly="1" fieldPosition="0">
        <references count="1">
          <reference field="3" count="0"/>
        </references>
      </pivotArea>
    </format>
    <format dxfId="13">
      <pivotArea collapsedLevelsAreSubtotals="1" fieldPosition="0">
        <references count="1">
          <reference field="3" count="2">
            <x v="5"/>
            <x v="6"/>
          </reference>
        </references>
      </pivotArea>
    </format>
    <format dxfId="12">
      <pivotArea dataOnly="0" labelOnly="1" fieldPosition="0">
        <references count="1">
          <reference field="3" count="2">
            <x v="5"/>
            <x v="6"/>
          </reference>
        </references>
      </pivotArea>
    </format>
    <format dxfId="11">
      <pivotArea collapsedLevelsAreSubtotals="1" fieldPosition="0">
        <references count="1">
          <reference field="3" count="1">
            <x v="0"/>
          </reference>
        </references>
      </pivotArea>
    </format>
    <format dxfId="10">
      <pivotArea dataOnly="0" labelOnly="1" fieldPosition="0">
        <references count="1">
          <reference field="3" count="1">
            <x v="0"/>
          </reference>
        </references>
      </pivotArea>
    </format>
    <format dxfId="9">
      <pivotArea collapsedLevelsAreSubtotals="1" fieldPosition="0">
        <references count="1">
          <reference field="3" count="1">
            <x v="9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fieldPosition="0">
        <references count="1">
          <reference field="3" count="1">
            <x v="9"/>
          </reference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ombra extrema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ivotTable" Target="../pivotTables/pivotTable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6" Type="http://schemas.openxmlformats.org/officeDocument/2006/relationships/comments" Target="../comments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2"/>
  <sheetViews>
    <sheetView showGridLines="0" workbookViewId="0">
      <selection activeCell="A11" sqref="A11"/>
    </sheetView>
  </sheetViews>
  <sheetFormatPr baseColWidth="10" defaultColWidth="11.44140625" defaultRowHeight="14.4"/>
  <cols>
    <col min="1" max="1" width="12.44140625" style="72" customWidth="1"/>
    <col min="2" max="2" width="14.5546875" style="72" customWidth="1"/>
    <col min="3" max="3" width="35" style="72" bestFit="1" customWidth="1"/>
    <col min="4" max="4" width="22.33203125" style="72" customWidth="1"/>
    <col min="5" max="5" width="17.6640625" style="72" customWidth="1"/>
    <col min="6" max="6" width="9.88671875" style="72" bestFit="1" customWidth="1"/>
    <col min="7" max="7" width="10.109375" style="72" customWidth="1"/>
    <col min="8" max="8" width="13.5546875" style="72" bestFit="1" customWidth="1"/>
    <col min="9" max="9" width="14" style="72" bestFit="1" customWidth="1"/>
    <col min="10" max="10" width="11.88671875" style="72" bestFit="1" customWidth="1"/>
    <col min="11" max="11" width="9.6640625" style="72" customWidth="1"/>
    <col min="12" max="12" width="13.6640625" style="72" customWidth="1"/>
    <col min="13" max="13" width="15.6640625" style="72" customWidth="1"/>
    <col min="14" max="14" width="17.5546875" style="72" customWidth="1"/>
    <col min="15" max="15" width="16.6640625" style="72" customWidth="1"/>
    <col min="16" max="16" width="18.33203125" style="72" customWidth="1"/>
    <col min="17" max="17" width="20.109375" style="72" bestFit="1" customWidth="1"/>
    <col min="18" max="18" width="13" style="72" bestFit="1" customWidth="1"/>
    <col min="19" max="16384" width="11.44140625" style="72"/>
  </cols>
  <sheetData>
    <row r="1" spans="1:18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8" ht="18.600000000000001" thickBot="1">
      <c r="A2" s="742" t="s">
        <v>0</v>
      </c>
      <c r="B2" s="743"/>
      <c r="C2" s="742" t="s">
        <v>857</v>
      </c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3"/>
    </row>
    <row r="3" spans="1:18" ht="18.600000000000001" thickBot="1">
      <c r="A3" s="742" t="s">
        <v>2</v>
      </c>
      <c r="B3" s="743"/>
      <c r="C3" s="147" t="s">
        <v>3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</row>
    <row r="4" spans="1:18" ht="18.600000000000001" thickBot="1">
      <c r="A4" s="745" t="s">
        <v>858</v>
      </c>
      <c r="B4" s="746"/>
      <c r="C4" s="150">
        <v>19.0274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8" ht="18.600000000000001" thickBot="1">
      <c r="A5" s="747" t="s">
        <v>5</v>
      </c>
      <c r="B5" s="748"/>
      <c r="C5" s="151" t="s">
        <v>859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3"/>
    </row>
    <row r="6" spans="1:18" ht="18.600000000000001" thickBot="1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</row>
    <row r="7" spans="1:18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18" ht="18.600000000000001" thickBot="1">
      <c r="A8" s="739" t="s">
        <v>860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1"/>
      <c r="Q8" s="154" t="s">
        <v>1090</v>
      </c>
      <c r="R8" s="155">
        <f>'BURNING COST'!F8</f>
        <v>721704</v>
      </c>
    </row>
    <row r="9" spans="1:18" ht="29.4" thickBot="1">
      <c r="A9" s="156" t="s">
        <v>9</v>
      </c>
      <c r="B9" s="157" t="s">
        <v>10</v>
      </c>
      <c r="C9" s="157" t="s">
        <v>11</v>
      </c>
      <c r="D9" s="157" t="s">
        <v>12</v>
      </c>
      <c r="E9" s="157" t="s">
        <v>13</v>
      </c>
      <c r="F9" s="156" t="s">
        <v>14</v>
      </c>
      <c r="G9" s="156" t="s">
        <v>15</v>
      </c>
      <c r="H9" s="156" t="s">
        <v>16</v>
      </c>
      <c r="I9" s="156" t="s">
        <v>17</v>
      </c>
      <c r="J9" s="156" t="s">
        <v>18</v>
      </c>
      <c r="K9" s="157" t="s">
        <v>19</v>
      </c>
      <c r="L9" s="158" t="s">
        <v>20</v>
      </c>
      <c r="M9" s="157" t="s">
        <v>21</v>
      </c>
      <c r="N9" s="159"/>
      <c r="Q9" s="158" t="s">
        <v>1091</v>
      </c>
    </row>
    <row r="10" spans="1:18">
      <c r="A10" s="160" t="s">
        <v>861</v>
      </c>
      <c r="B10" s="161" t="s">
        <v>862</v>
      </c>
      <c r="C10" s="162" t="s">
        <v>863</v>
      </c>
      <c r="D10" s="161" t="s">
        <v>773</v>
      </c>
      <c r="E10" s="162" t="s">
        <v>55</v>
      </c>
      <c r="F10" s="163">
        <v>40438</v>
      </c>
      <c r="G10" s="164">
        <v>40497</v>
      </c>
      <c r="H10" s="163">
        <v>40520</v>
      </c>
      <c r="I10" s="165">
        <v>120000</v>
      </c>
      <c r="J10" s="166"/>
      <c r="K10" s="165"/>
      <c r="L10" s="167"/>
      <c r="M10" s="168"/>
      <c r="N10" s="159"/>
      <c r="Q10" s="169">
        <f t="shared" ref="Q10:Q40" si="0">IF($J10&gt;R$8,$J10-R$8,0)</f>
        <v>0</v>
      </c>
    </row>
    <row r="11" spans="1:18">
      <c r="A11" s="170" t="s">
        <v>864</v>
      </c>
      <c r="B11" s="171" t="s">
        <v>865</v>
      </c>
      <c r="C11" s="172" t="s">
        <v>863</v>
      </c>
      <c r="D11" s="171" t="s">
        <v>773</v>
      </c>
      <c r="E11" s="172" t="s">
        <v>55</v>
      </c>
      <c r="F11" s="173">
        <v>40438</v>
      </c>
      <c r="G11" s="174">
        <v>40497</v>
      </c>
      <c r="H11" s="173">
        <v>40520</v>
      </c>
      <c r="I11" s="176">
        <v>31624.75</v>
      </c>
      <c r="J11" s="175">
        <f>+I11+I10</f>
        <v>151624.75</v>
      </c>
      <c r="K11" s="176">
        <v>118900</v>
      </c>
      <c r="L11" s="177">
        <f>+J11-K11</f>
        <v>32724.75</v>
      </c>
      <c r="M11" s="178"/>
      <c r="Q11" s="179">
        <f t="shared" si="0"/>
        <v>0</v>
      </c>
    </row>
    <row r="12" spans="1:18">
      <c r="A12" s="170" t="s">
        <v>866</v>
      </c>
      <c r="B12" s="171" t="s">
        <v>862</v>
      </c>
      <c r="C12" s="172" t="s">
        <v>867</v>
      </c>
      <c r="D12" s="171" t="s">
        <v>750</v>
      </c>
      <c r="E12" s="172" t="s">
        <v>55</v>
      </c>
      <c r="F12" s="173">
        <v>40354</v>
      </c>
      <c r="G12" s="174">
        <v>40371</v>
      </c>
      <c r="H12" s="173">
        <v>40471</v>
      </c>
      <c r="I12" s="176">
        <v>460000</v>
      </c>
      <c r="J12" s="175"/>
      <c r="K12" s="176"/>
      <c r="L12" s="177"/>
      <c r="M12" s="178"/>
      <c r="Q12" s="179">
        <f t="shared" si="0"/>
        <v>0</v>
      </c>
    </row>
    <row r="13" spans="1:18">
      <c r="A13" s="170" t="s">
        <v>868</v>
      </c>
      <c r="B13" s="171" t="s">
        <v>865</v>
      </c>
      <c r="C13" s="172" t="s">
        <v>867</v>
      </c>
      <c r="D13" s="171" t="s">
        <v>750</v>
      </c>
      <c r="E13" s="172" t="s">
        <v>55</v>
      </c>
      <c r="F13" s="173">
        <v>40354</v>
      </c>
      <c r="G13" s="174">
        <v>40371</v>
      </c>
      <c r="H13" s="173">
        <v>40471</v>
      </c>
      <c r="I13" s="176">
        <v>10156.950000000001</v>
      </c>
      <c r="J13" s="175">
        <f>+I13+I12</f>
        <v>470156.95</v>
      </c>
      <c r="K13" s="176">
        <v>118900</v>
      </c>
      <c r="L13" s="177">
        <f>+J13-K13</f>
        <v>351256.95</v>
      </c>
      <c r="M13" s="178"/>
      <c r="Q13" s="179">
        <f>IF($J13&gt;R$8,$J13-R$8,0)</f>
        <v>0</v>
      </c>
    </row>
    <row r="14" spans="1:18">
      <c r="A14" s="170" t="s">
        <v>869</v>
      </c>
      <c r="B14" s="171" t="s">
        <v>862</v>
      </c>
      <c r="C14" s="172" t="s">
        <v>870</v>
      </c>
      <c r="D14" s="171" t="s">
        <v>38</v>
      </c>
      <c r="E14" s="172" t="s">
        <v>55</v>
      </c>
      <c r="F14" s="173">
        <v>40465</v>
      </c>
      <c r="G14" s="174">
        <v>40491</v>
      </c>
      <c r="H14" s="173">
        <v>40529</v>
      </c>
      <c r="I14" s="176">
        <v>366789.9</v>
      </c>
      <c r="J14" s="175"/>
      <c r="K14" s="176"/>
      <c r="L14" s="177"/>
      <c r="M14" s="178"/>
      <c r="Q14" s="179">
        <f t="shared" si="0"/>
        <v>0</v>
      </c>
    </row>
    <row r="15" spans="1:18">
      <c r="A15" s="170" t="s">
        <v>871</v>
      </c>
      <c r="B15" s="171" t="s">
        <v>865</v>
      </c>
      <c r="C15" s="172" t="s">
        <v>870</v>
      </c>
      <c r="D15" s="171" t="s">
        <v>38</v>
      </c>
      <c r="E15" s="172" t="s">
        <v>55</v>
      </c>
      <c r="F15" s="173">
        <v>40465</v>
      </c>
      <c r="G15" s="174">
        <v>40491</v>
      </c>
      <c r="H15" s="173">
        <v>40529</v>
      </c>
      <c r="I15" s="176">
        <v>34281.230000000003</v>
      </c>
      <c r="J15" s="175">
        <f>+I15+I14</f>
        <v>401071.13</v>
      </c>
      <c r="K15" s="176">
        <v>118900</v>
      </c>
      <c r="L15" s="177">
        <f>+J15-K15</f>
        <v>282171.13</v>
      </c>
      <c r="M15" s="178"/>
      <c r="Q15" s="179">
        <f t="shared" si="0"/>
        <v>0</v>
      </c>
    </row>
    <row r="16" spans="1:18">
      <c r="A16" s="170" t="s">
        <v>872</v>
      </c>
      <c r="B16" s="171" t="s">
        <v>865</v>
      </c>
      <c r="C16" s="172" t="s">
        <v>873</v>
      </c>
      <c r="D16" s="171" t="s">
        <v>530</v>
      </c>
      <c r="E16" s="172" t="s">
        <v>55</v>
      </c>
      <c r="F16" s="173">
        <v>40422</v>
      </c>
      <c r="G16" s="174">
        <v>40478</v>
      </c>
      <c r="H16" s="173">
        <v>40497</v>
      </c>
      <c r="I16" s="176">
        <v>103000</v>
      </c>
      <c r="J16" s="175"/>
      <c r="K16" s="176"/>
      <c r="L16" s="177"/>
      <c r="M16" s="178"/>
      <c r="Q16" s="179">
        <f t="shared" si="0"/>
        <v>0</v>
      </c>
    </row>
    <row r="17" spans="1:17">
      <c r="A17" s="170" t="s">
        <v>874</v>
      </c>
      <c r="B17" s="171" t="s">
        <v>862</v>
      </c>
      <c r="C17" s="172" t="s">
        <v>873</v>
      </c>
      <c r="D17" s="171" t="s">
        <v>875</v>
      </c>
      <c r="E17" s="172" t="s">
        <v>55</v>
      </c>
      <c r="F17" s="173">
        <v>40422</v>
      </c>
      <c r="G17" s="174">
        <v>40478</v>
      </c>
      <c r="H17" s="173">
        <v>40497</v>
      </c>
      <c r="I17" s="176">
        <v>72637.259999999995</v>
      </c>
      <c r="J17" s="175">
        <f>SUM(I16:I17)</f>
        <v>175637.26</v>
      </c>
      <c r="K17" s="176">
        <v>118900</v>
      </c>
      <c r="L17" s="177">
        <f>+J17-K17</f>
        <v>56737.260000000009</v>
      </c>
      <c r="M17" s="178"/>
      <c r="Q17" s="179">
        <f t="shared" si="0"/>
        <v>0</v>
      </c>
    </row>
    <row r="18" spans="1:17">
      <c r="A18" s="170" t="s">
        <v>876</v>
      </c>
      <c r="B18" s="171" t="s">
        <v>862</v>
      </c>
      <c r="C18" s="172" t="s">
        <v>877</v>
      </c>
      <c r="D18" s="171" t="s">
        <v>626</v>
      </c>
      <c r="E18" s="172" t="s">
        <v>55</v>
      </c>
      <c r="F18" s="173">
        <v>40248</v>
      </c>
      <c r="G18" s="174">
        <v>40277</v>
      </c>
      <c r="H18" s="173">
        <v>40402</v>
      </c>
      <c r="I18" s="176">
        <v>79000</v>
      </c>
      <c r="J18" s="175"/>
      <c r="K18" s="176"/>
      <c r="L18" s="177"/>
      <c r="M18" s="178"/>
      <c r="Q18" s="179">
        <f t="shared" si="0"/>
        <v>0</v>
      </c>
    </row>
    <row r="19" spans="1:17">
      <c r="A19" s="170" t="s">
        <v>878</v>
      </c>
      <c r="B19" s="171" t="s">
        <v>865</v>
      </c>
      <c r="C19" s="172" t="s">
        <v>877</v>
      </c>
      <c r="D19" s="171" t="s">
        <v>626</v>
      </c>
      <c r="E19" s="172" t="s">
        <v>55</v>
      </c>
      <c r="F19" s="173">
        <v>40248</v>
      </c>
      <c r="G19" s="174">
        <v>40277</v>
      </c>
      <c r="H19" s="173">
        <v>40402</v>
      </c>
      <c r="I19" s="176">
        <v>55000</v>
      </c>
      <c r="J19" s="175">
        <f>+I19+I18</f>
        <v>134000</v>
      </c>
      <c r="K19" s="176">
        <v>118900</v>
      </c>
      <c r="L19" s="177">
        <f>+J19-K19</f>
        <v>15100</v>
      </c>
      <c r="M19" s="178"/>
      <c r="Q19" s="179">
        <f t="shared" si="0"/>
        <v>0</v>
      </c>
    </row>
    <row r="20" spans="1:17">
      <c r="A20" s="170" t="s">
        <v>879</v>
      </c>
      <c r="B20" s="171" t="s">
        <v>862</v>
      </c>
      <c r="C20" s="172" t="s">
        <v>880</v>
      </c>
      <c r="D20" s="171" t="s">
        <v>773</v>
      </c>
      <c r="E20" s="172" t="s">
        <v>33</v>
      </c>
      <c r="F20" s="173">
        <v>40179</v>
      </c>
      <c r="G20" s="174">
        <v>40284</v>
      </c>
      <c r="H20" s="173">
        <v>40330</v>
      </c>
      <c r="I20" s="176">
        <v>22658.65</v>
      </c>
      <c r="J20" s="175"/>
      <c r="K20" s="176"/>
      <c r="L20" s="177"/>
      <c r="M20" s="178"/>
      <c r="Q20" s="179">
        <f t="shared" si="0"/>
        <v>0</v>
      </c>
    </row>
    <row r="21" spans="1:17">
      <c r="A21" s="170" t="s">
        <v>881</v>
      </c>
      <c r="B21" s="171" t="s">
        <v>865</v>
      </c>
      <c r="C21" s="172" t="s">
        <v>880</v>
      </c>
      <c r="D21" s="171" t="s">
        <v>773</v>
      </c>
      <c r="E21" s="172" t="s">
        <v>33</v>
      </c>
      <c r="F21" s="173">
        <v>40179</v>
      </c>
      <c r="G21" s="174">
        <v>40284</v>
      </c>
      <c r="H21" s="173">
        <v>40330</v>
      </c>
      <c r="I21" s="176">
        <v>103000</v>
      </c>
      <c r="J21" s="175">
        <f>+I21+I20</f>
        <v>125658.65</v>
      </c>
      <c r="K21" s="176">
        <v>118900</v>
      </c>
      <c r="L21" s="177">
        <f>J21-K21</f>
        <v>6758.6499999999942</v>
      </c>
      <c r="M21" s="178"/>
      <c r="Q21" s="179">
        <f t="shared" si="0"/>
        <v>0</v>
      </c>
    </row>
    <row r="22" spans="1:17">
      <c r="A22" s="170" t="s">
        <v>882</v>
      </c>
      <c r="B22" s="171" t="s">
        <v>862</v>
      </c>
      <c r="C22" s="172" t="s">
        <v>883</v>
      </c>
      <c r="D22" s="171" t="s">
        <v>884</v>
      </c>
      <c r="E22" s="172" t="s">
        <v>55</v>
      </c>
      <c r="F22" s="173">
        <v>40220</v>
      </c>
      <c r="G22" s="174">
        <v>40253</v>
      </c>
      <c r="H22" s="173">
        <v>40316</v>
      </c>
      <c r="I22" s="176">
        <v>200000</v>
      </c>
      <c r="J22" s="175"/>
      <c r="K22" s="176"/>
      <c r="L22" s="177"/>
      <c r="M22" s="178"/>
      <c r="Q22" s="179">
        <f t="shared" si="0"/>
        <v>0</v>
      </c>
    </row>
    <row r="23" spans="1:17">
      <c r="A23" s="170" t="s">
        <v>885</v>
      </c>
      <c r="B23" s="171" t="s">
        <v>865</v>
      </c>
      <c r="C23" s="172" t="s">
        <v>883</v>
      </c>
      <c r="D23" s="171" t="s">
        <v>884</v>
      </c>
      <c r="E23" s="172" t="s">
        <v>55</v>
      </c>
      <c r="F23" s="173">
        <v>40220</v>
      </c>
      <c r="G23" s="174">
        <v>40253</v>
      </c>
      <c r="H23" s="173">
        <v>40316</v>
      </c>
      <c r="I23" s="176">
        <v>53000</v>
      </c>
      <c r="J23" s="175">
        <f>SUM(I22:I23)</f>
        <v>253000</v>
      </c>
      <c r="K23" s="176">
        <v>118900</v>
      </c>
      <c r="L23" s="177">
        <f>+J23-K23</f>
        <v>134100</v>
      </c>
      <c r="M23" s="178"/>
      <c r="Q23" s="179">
        <f t="shared" si="0"/>
        <v>0</v>
      </c>
    </row>
    <row r="24" spans="1:17">
      <c r="A24" s="170" t="s">
        <v>886</v>
      </c>
      <c r="B24" s="171" t="s">
        <v>93</v>
      </c>
      <c r="C24" s="172" t="s">
        <v>887</v>
      </c>
      <c r="D24" s="171" t="s">
        <v>38</v>
      </c>
      <c r="E24" s="172" t="s">
        <v>55</v>
      </c>
      <c r="F24" s="173">
        <v>40465</v>
      </c>
      <c r="G24" s="174">
        <v>40505</v>
      </c>
      <c r="H24" s="173">
        <v>40529</v>
      </c>
      <c r="I24" s="176">
        <v>5000</v>
      </c>
      <c r="J24" s="175"/>
      <c r="K24" s="176"/>
      <c r="L24" s="177"/>
      <c r="M24" s="178"/>
      <c r="Q24" s="179">
        <f t="shared" si="0"/>
        <v>0</v>
      </c>
    </row>
    <row r="25" spans="1:17">
      <c r="A25" s="170" t="s">
        <v>888</v>
      </c>
      <c r="B25" s="171" t="s">
        <v>865</v>
      </c>
      <c r="C25" s="172" t="s">
        <v>887</v>
      </c>
      <c r="D25" s="171" t="s">
        <v>38</v>
      </c>
      <c r="E25" s="172" t="s">
        <v>55</v>
      </c>
      <c r="F25" s="173">
        <v>40465</v>
      </c>
      <c r="G25" s="174">
        <v>40505</v>
      </c>
      <c r="H25" s="173">
        <v>40529</v>
      </c>
      <c r="I25" s="176">
        <v>96852.05</v>
      </c>
      <c r="J25" s="175"/>
      <c r="K25" s="176"/>
      <c r="L25" s="177"/>
      <c r="M25" s="178"/>
      <c r="Q25" s="179">
        <f t="shared" si="0"/>
        <v>0</v>
      </c>
    </row>
    <row r="26" spans="1:17">
      <c r="A26" s="170" t="s">
        <v>889</v>
      </c>
      <c r="B26" s="171" t="s">
        <v>862</v>
      </c>
      <c r="C26" s="172" t="s">
        <v>887</v>
      </c>
      <c r="D26" s="171" t="s">
        <v>38</v>
      </c>
      <c r="E26" s="172" t="s">
        <v>55</v>
      </c>
      <c r="F26" s="173">
        <v>40465</v>
      </c>
      <c r="G26" s="174">
        <v>40505</v>
      </c>
      <c r="H26" s="173">
        <v>40529</v>
      </c>
      <c r="I26" s="176">
        <v>202941.16</v>
      </c>
      <c r="J26" s="175">
        <f>SUM(I24:I26)</f>
        <v>304793.21000000002</v>
      </c>
      <c r="K26" s="176">
        <v>118900</v>
      </c>
      <c r="L26" s="177">
        <f>+J26-K26</f>
        <v>185893.21000000002</v>
      </c>
      <c r="M26" s="178"/>
      <c r="Q26" s="179">
        <f t="shared" si="0"/>
        <v>0</v>
      </c>
    </row>
    <row r="27" spans="1:17">
      <c r="A27" s="170" t="s">
        <v>890</v>
      </c>
      <c r="B27" s="171" t="s">
        <v>862</v>
      </c>
      <c r="C27" s="172" t="s">
        <v>891</v>
      </c>
      <c r="D27" s="171" t="s">
        <v>892</v>
      </c>
      <c r="E27" s="172" t="s">
        <v>55</v>
      </c>
      <c r="F27" s="173">
        <v>40266</v>
      </c>
      <c r="G27" s="174">
        <v>40284</v>
      </c>
      <c r="H27" s="173">
        <v>40325</v>
      </c>
      <c r="I27" s="176">
        <v>188479.31</v>
      </c>
      <c r="J27" s="175"/>
      <c r="K27" s="176"/>
      <c r="L27" s="177"/>
      <c r="M27" s="178"/>
      <c r="Q27" s="179">
        <f t="shared" si="0"/>
        <v>0</v>
      </c>
    </row>
    <row r="28" spans="1:17">
      <c r="A28" s="170" t="s">
        <v>893</v>
      </c>
      <c r="B28" s="171" t="s">
        <v>865</v>
      </c>
      <c r="C28" s="172" t="s">
        <v>891</v>
      </c>
      <c r="D28" s="171" t="s">
        <v>892</v>
      </c>
      <c r="E28" s="172" t="s">
        <v>55</v>
      </c>
      <c r="F28" s="173">
        <v>40266</v>
      </c>
      <c r="G28" s="174">
        <v>40284</v>
      </c>
      <c r="H28" s="173">
        <v>40325</v>
      </c>
      <c r="I28" s="176">
        <v>103000</v>
      </c>
      <c r="J28" s="175">
        <f>+I28+I27</f>
        <v>291479.31</v>
      </c>
      <c r="K28" s="176">
        <v>118900</v>
      </c>
      <c r="L28" s="177">
        <f>+J28-K28</f>
        <v>172579.31</v>
      </c>
      <c r="M28" s="178"/>
      <c r="Q28" s="179">
        <f t="shared" si="0"/>
        <v>0</v>
      </c>
    </row>
    <row r="29" spans="1:17">
      <c r="A29" s="170" t="s">
        <v>894</v>
      </c>
      <c r="B29" s="171" t="s">
        <v>862</v>
      </c>
      <c r="C29" s="172" t="s">
        <v>895</v>
      </c>
      <c r="D29" s="171" t="s">
        <v>38</v>
      </c>
      <c r="E29" s="172" t="s">
        <v>55</v>
      </c>
      <c r="F29" s="173">
        <v>40355</v>
      </c>
      <c r="G29" s="174">
        <v>40378</v>
      </c>
      <c r="H29" s="173">
        <v>40424</v>
      </c>
      <c r="I29" s="176">
        <v>100000</v>
      </c>
      <c r="J29" s="175"/>
      <c r="K29" s="176"/>
      <c r="L29" s="177"/>
      <c r="M29" s="178"/>
      <c r="Q29" s="179">
        <f t="shared" si="0"/>
        <v>0</v>
      </c>
    </row>
    <row r="30" spans="1:17">
      <c r="A30" s="170" t="s">
        <v>896</v>
      </c>
      <c r="B30" s="171" t="s">
        <v>865</v>
      </c>
      <c r="C30" s="172" t="s">
        <v>895</v>
      </c>
      <c r="D30" s="171" t="s">
        <v>38</v>
      </c>
      <c r="E30" s="172" t="s">
        <v>55</v>
      </c>
      <c r="F30" s="173">
        <v>40355</v>
      </c>
      <c r="G30" s="174">
        <v>40378</v>
      </c>
      <c r="H30" s="173">
        <v>40424</v>
      </c>
      <c r="I30" s="176">
        <v>16103.97</v>
      </c>
      <c r="J30" s="175"/>
      <c r="K30" s="176"/>
      <c r="L30" s="177"/>
      <c r="M30" s="178"/>
      <c r="Q30" s="179">
        <f t="shared" si="0"/>
        <v>0</v>
      </c>
    </row>
    <row r="31" spans="1:17">
      <c r="A31" s="170" t="s">
        <v>897</v>
      </c>
      <c r="B31" s="171" t="s">
        <v>353</v>
      </c>
      <c r="C31" s="172" t="s">
        <v>895</v>
      </c>
      <c r="D31" s="171" t="s">
        <v>38</v>
      </c>
      <c r="E31" s="172" t="s">
        <v>55</v>
      </c>
      <c r="F31" s="173">
        <v>40355</v>
      </c>
      <c r="G31" s="174">
        <v>40378</v>
      </c>
      <c r="H31" s="173">
        <v>40424</v>
      </c>
      <c r="I31" s="176">
        <v>124836.66</v>
      </c>
      <c r="J31" s="175">
        <f>SUM(I29:I31)</f>
        <v>240940.63</v>
      </c>
      <c r="K31" s="176">
        <v>118900</v>
      </c>
      <c r="L31" s="177">
        <f>+J31-K31</f>
        <v>122040.63</v>
      </c>
      <c r="M31" s="178"/>
      <c r="Q31" s="179">
        <f t="shared" si="0"/>
        <v>0</v>
      </c>
    </row>
    <row r="32" spans="1:17">
      <c r="A32" s="170" t="s">
        <v>898</v>
      </c>
      <c r="B32" s="171" t="s">
        <v>862</v>
      </c>
      <c r="C32" s="172" t="s">
        <v>899</v>
      </c>
      <c r="D32" s="171" t="s">
        <v>209</v>
      </c>
      <c r="E32" s="172" t="s">
        <v>55</v>
      </c>
      <c r="F32" s="180">
        <v>40235</v>
      </c>
      <c r="G32" s="181">
        <v>40246</v>
      </c>
      <c r="H32" s="180">
        <v>40310</v>
      </c>
      <c r="I32" s="176">
        <v>100000</v>
      </c>
      <c r="J32" s="177"/>
      <c r="K32" s="176"/>
      <c r="L32" s="177"/>
      <c r="M32" s="178"/>
      <c r="Q32" s="179">
        <f t="shared" si="0"/>
        <v>0</v>
      </c>
    </row>
    <row r="33" spans="1:17">
      <c r="A33" s="170" t="s">
        <v>900</v>
      </c>
      <c r="B33" s="171" t="s">
        <v>865</v>
      </c>
      <c r="C33" s="172" t="s">
        <v>899</v>
      </c>
      <c r="D33" s="171" t="s">
        <v>209</v>
      </c>
      <c r="E33" s="172" t="s">
        <v>55</v>
      </c>
      <c r="F33" s="180">
        <v>40235</v>
      </c>
      <c r="G33" s="181">
        <v>40246</v>
      </c>
      <c r="H33" s="180">
        <v>40310</v>
      </c>
      <c r="I33" s="176">
        <v>20104.28</v>
      </c>
      <c r="J33" s="177"/>
      <c r="K33" s="176"/>
      <c r="L33" s="177"/>
      <c r="M33" s="178"/>
      <c r="N33" s="182"/>
      <c r="O33" s="183"/>
      <c r="Q33" s="179">
        <f t="shared" si="0"/>
        <v>0</v>
      </c>
    </row>
    <row r="34" spans="1:17">
      <c r="A34" s="170" t="s">
        <v>901</v>
      </c>
      <c r="B34" s="171" t="s">
        <v>353</v>
      </c>
      <c r="C34" s="172" t="s">
        <v>899</v>
      </c>
      <c r="D34" s="171" t="s">
        <v>209</v>
      </c>
      <c r="E34" s="172" t="s">
        <v>55</v>
      </c>
      <c r="F34" s="180">
        <v>40235</v>
      </c>
      <c r="G34" s="181">
        <v>40246</v>
      </c>
      <c r="H34" s="180">
        <v>40310</v>
      </c>
      <c r="I34" s="176">
        <v>66249.8</v>
      </c>
      <c r="J34" s="177"/>
      <c r="K34" s="176"/>
      <c r="L34" s="177"/>
      <c r="M34" s="178"/>
      <c r="Q34" s="179">
        <f t="shared" si="0"/>
        <v>0</v>
      </c>
    </row>
    <row r="35" spans="1:17">
      <c r="A35" s="170" t="s">
        <v>902</v>
      </c>
      <c r="B35" s="171" t="s">
        <v>93</v>
      </c>
      <c r="C35" s="172" t="s">
        <v>899</v>
      </c>
      <c r="D35" s="171" t="s">
        <v>209</v>
      </c>
      <c r="E35" s="172" t="s">
        <v>55</v>
      </c>
      <c r="F35" s="180">
        <v>40235</v>
      </c>
      <c r="G35" s="181">
        <v>40246</v>
      </c>
      <c r="H35" s="180">
        <v>40331</v>
      </c>
      <c r="I35" s="176">
        <v>55000</v>
      </c>
      <c r="J35" s="177">
        <f>SUM(I32:I35)</f>
        <v>241354.08000000002</v>
      </c>
      <c r="K35" s="176">
        <v>118900</v>
      </c>
      <c r="L35" s="177">
        <f>J35-K35</f>
        <v>122454.08000000002</v>
      </c>
      <c r="M35" s="178"/>
      <c r="Q35" s="179">
        <f t="shared" si="0"/>
        <v>0</v>
      </c>
    </row>
    <row r="36" spans="1:17">
      <c r="A36" s="170" t="s">
        <v>903</v>
      </c>
      <c r="B36" s="171" t="s">
        <v>862</v>
      </c>
      <c r="C36" s="172" t="s">
        <v>904</v>
      </c>
      <c r="D36" s="171" t="s">
        <v>38</v>
      </c>
      <c r="E36" s="172" t="s">
        <v>55</v>
      </c>
      <c r="F36" s="173">
        <v>40410</v>
      </c>
      <c r="G36" s="174">
        <v>40435</v>
      </c>
      <c r="H36" s="173">
        <v>40529</v>
      </c>
      <c r="I36" s="176">
        <v>100000</v>
      </c>
      <c r="J36" s="175"/>
      <c r="K36" s="176"/>
      <c r="L36" s="177"/>
      <c r="M36" s="178"/>
      <c r="Q36" s="179">
        <f t="shared" si="0"/>
        <v>0</v>
      </c>
    </row>
    <row r="37" spans="1:17">
      <c r="A37" s="170" t="s">
        <v>905</v>
      </c>
      <c r="B37" s="171" t="s">
        <v>865</v>
      </c>
      <c r="C37" s="172" t="s">
        <v>904</v>
      </c>
      <c r="D37" s="171" t="s">
        <v>38</v>
      </c>
      <c r="E37" s="172" t="s">
        <v>55</v>
      </c>
      <c r="F37" s="173">
        <v>40410</v>
      </c>
      <c r="G37" s="174">
        <v>40435</v>
      </c>
      <c r="H37" s="173">
        <v>40529</v>
      </c>
      <c r="I37" s="176">
        <v>23684.16</v>
      </c>
      <c r="J37" s="175">
        <f>SUM(I36:I37)</f>
        <v>123684.16</v>
      </c>
      <c r="K37" s="176">
        <v>118900</v>
      </c>
      <c r="L37" s="177">
        <f>+J37-K37</f>
        <v>4784.1600000000035</v>
      </c>
      <c r="M37" s="178"/>
      <c r="Q37" s="179">
        <f t="shared" si="0"/>
        <v>0</v>
      </c>
    </row>
    <row r="38" spans="1:17">
      <c r="A38" s="170" t="s">
        <v>906</v>
      </c>
      <c r="B38" s="171" t="s">
        <v>862</v>
      </c>
      <c r="C38" s="172" t="s">
        <v>907</v>
      </c>
      <c r="D38" s="171" t="s">
        <v>38</v>
      </c>
      <c r="E38" s="172" t="s">
        <v>55</v>
      </c>
      <c r="F38" s="173">
        <v>40179</v>
      </c>
      <c r="G38" s="174">
        <v>40262</v>
      </c>
      <c r="H38" s="173">
        <v>40364</v>
      </c>
      <c r="I38" s="176">
        <v>100000</v>
      </c>
      <c r="J38" s="175"/>
      <c r="K38" s="176"/>
      <c r="L38" s="177"/>
      <c r="M38" s="178"/>
      <c r="Q38" s="179">
        <f t="shared" si="0"/>
        <v>0</v>
      </c>
    </row>
    <row r="39" spans="1:17">
      <c r="A39" s="170" t="s">
        <v>908</v>
      </c>
      <c r="B39" s="171" t="s">
        <v>865</v>
      </c>
      <c r="C39" s="172" t="s">
        <v>907</v>
      </c>
      <c r="D39" s="171" t="s">
        <v>38</v>
      </c>
      <c r="E39" s="172" t="s">
        <v>55</v>
      </c>
      <c r="F39" s="173">
        <v>40179</v>
      </c>
      <c r="G39" s="174">
        <v>40262</v>
      </c>
      <c r="H39" s="173">
        <v>40364</v>
      </c>
      <c r="I39" s="176">
        <v>53156.23</v>
      </c>
      <c r="J39" s="175"/>
      <c r="K39" s="176"/>
      <c r="L39" s="177"/>
      <c r="M39" s="178"/>
      <c r="Q39" s="179">
        <f t="shared" si="0"/>
        <v>0</v>
      </c>
    </row>
    <row r="40" spans="1:17">
      <c r="A40" s="170" t="s">
        <v>909</v>
      </c>
      <c r="B40" s="171" t="s">
        <v>353</v>
      </c>
      <c r="C40" s="172" t="s">
        <v>907</v>
      </c>
      <c r="D40" s="171" t="s">
        <v>38</v>
      </c>
      <c r="E40" s="172" t="s">
        <v>55</v>
      </c>
      <c r="F40" s="173">
        <v>40179</v>
      </c>
      <c r="G40" s="174">
        <v>40262</v>
      </c>
      <c r="H40" s="173">
        <v>40364</v>
      </c>
      <c r="I40" s="176">
        <v>300000</v>
      </c>
      <c r="J40" s="175"/>
      <c r="K40" s="176"/>
      <c r="L40" s="177"/>
      <c r="M40" s="178"/>
      <c r="Q40" s="179">
        <f t="shared" si="0"/>
        <v>0</v>
      </c>
    </row>
    <row r="41" spans="1:17">
      <c r="A41" s="170" t="s">
        <v>910</v>
      </c>
      <c r="B41" s="171" t="s">
        <v>93</v>
      </c>
      <c r="C41" s="172" t="s">
        <v>907</v>
      </c>
      <c r="D41" s="171" t="s">
        <v>38</v>
      </c>
      <c r="E41" s="172" t="s">
        <v>55</v>
      </c>
      <c r="F41" s="173">
        <v>40179</v>
      </c>
      <c r="G41" s="174">
        <v>40262</v>
      </c>
      <c r="H41" s="173">
        <v>40364</v>
      </c>
      <c r="I41" s="176">
        <v>8000</v>
      </c>
      <c r="J41" s="175">
        <f>SUM(I38:I41)</f>
        <v>461156.23</v>
      </c>
      <c r="K41" s="176">
        <v>118900</v>
      </c>
      <c r="L41" s="177">
        <f>+J41-K41</f>
        <v>342256.23</v>
      </c>
      <c r="M41" s="178"/>
      <c r="Q41" s="179">
        <f>IF($J41&gt;R$8,$J41-R$8,0)</f>
        <v>0</v>
      </c>
    </row>
    <row r="42" spans="1:17">
      <c r="A42" s="170" t="s">
        <v>911</v>
      </c>
      <c r="B42" s="171" t="s">
        <v>862</v>
      </c>
      <c r="C42" s="172" t="s">
        <v>912</v>
      </c>
      <c r="D42" s="171" t="s">
        <v>530</v>
      </c>
      <c r="E42" s="172" t="s">
        <v>55</v>
      </c>
      <c r="F42" s="180">
        <v>40229</v>
      </c>
      <c r="G42" s="181">
        <v>40266</v>
      </c>
      <c r="H42" s="180">
        <v>40303</v>
      </c>
      <c r="I42" s="176">
        <v>100000</v>
      </c>
      <c r="J42" s="177"/>
      <c r="K42" s="176"/>
      <c r="L42" s="177"/>
      <c r="M42" s="178"/>
      <c r="Q42" s="179">
        <f t="shared" ref="Q42:Q73" si="1">IF($J42&gt;R$8,$J42-R$8,0)</f>
        <v>0</v>
      </c>
    </row>
    <row r="43" spans="1:17">
      <c r="A43" s="170" t="s">
        <v>913</v>
      </c>
      <c r="B43" s="171" t="s">
        <v>865</v>
      </c>
      <c r="C43" s="172" t="s">
        <v>912</v>
      </c>
      <c r="D43" s="171" t="s">
        <v>530</v>
      </c>
      <c r="E43" s="172" t="s">
        <v>55</v>
      </c>
      <c r="F43" s="180">
        <v>40229</v>
      </c>
      <c r="G43" s="181">
        <v>40266</v>
      </c>
      <c r="H43" s="180">
        <v>40303</v>
      </c>
      <c r="I43" s="176">
        <v>36449.51</v>
      </c>
      <c r="J43" s="177">
        <f>SUM(I42:I43)</f>
        <v>136449.51</v>
      </c>
      <c r="K43" s="176">
        <v>118900</v>
      </c>
      <c r="L43" s="177">
        <f>J43-K43</f>
        <v>17549.510000000009</v>
      </c>
      <c r="M43" s="178"/>
      <c r="Q43" s="179">
        <f t="shared" si="1"/>
        <v>0</v>
      </c>
    </row>
    <row r="44" spans="1:17">
      <c r="A44" s="170" t="s">
        <v>914</v>
      </c>
      <c r="B44" s="171" t="s">
        <v>862</v>
      </c>
      <c r="C44" s="172" t="s">
        <v>915</v>
      </c>
      <c r="D44" s="171" t="s">
        <v>916</v>
      </c>
      <c r="E44" s="172" t="s">
        <v>55</v>
      </c>
      <c r="F44" s="173">
        <v>40310</v>
      </c>
      <c r="G44" s="174">
        <v>40317</v>
      </c>
      <c r="H44" s="173">
        <v>40331</v>
      </c>
      <c r="I44" s="176">
        <v>100000</v>
      </c>
      <c r="J44" s="175"/>
      <c r="K44" s="176"/>
      <c r="L44" s="177"/>
      <c r="M44" s="178"/>
      <c r="Q44" s="179">
        <f t="shared" si="1"/>
        <v>0</v>
      </c>
    </row>
    <row r="45" spans="1:17">
      <c r="A45" s="170" t="s">
        <v>917</v>
      </c>
      <c r="B45" s="171" t="s">
        <v>865</v>
      </c>
      <c r="C45" s="172" t="s">
        <v>915</v>
      </c>
      <c r="D45" s="171" t="s">
        <v>916</v>
      </c>
      <c r="E45" s="172" t="s">
        <v>55</v>
      </c>
      <c r="F45" s="173">
        <v>40310</v>
      </c>
      <c r="G45" s="174">
        <v>40317</v>
      </c>
      <c r="H45" s="173">
        <v>40331</v>
      </c>
      <c r="I45" s="176">
        <v>26578.76</v>
      </c>
      <c r="J45" s="175"/>
      <c r="K45" s="176"/>
      <c r="L45" s="177"/>
      <c r="M45" s="178"/>
      <c r="Q45" s="179">
        <f t="shared" si="1"/>
        <v>0</v>
      </c>
    </row>
    <row r="46" spans="1:17">
      <c r="A46" s="170" t="s">
        <v>918</v>
      </c>
      <c r="B46" s="171" t="s">
        <v>353</v>
      </c>
      <c r="C46" s="172" t="s">
        <v>915</v>
      </c>
      <c r="D46" s="171" t="s">
        <v>916</v>
      </c>
      <c r="E46" s="172" t="s">
        <v>55</v>
      </c>
      <c r="F46" s="173">
        <v>40310</v>
      </c>
      <c r="G46" s="174">
        <v>40317</v>
      </c>
      <c r="H46" s="173">
        <v>40331</v>
      </c>
      <c r="I46" s="176">
        <v>17839.27</v>
      </c>
      <c r="J46" s="175">
        <f>+I46+I45+I44</f>
        <v>144418.03</v>
      </c>
      <c r="K46" s="176">
        <v>118900</v>
      </c>
      <c r="L46" s="177">
        <f>+J46-K46</f>
        <v>25518.03</v>
      </c>
      <c r="M46" s="178"/>
      <c r="Q46" s="179">
        <f t="shared" si="1"/>
        <v>0</v>
      </c>
    </row>
    <row r="47" spans="1:17">
      <c r="A47" s="170" t="s">
        <v>919</v>
      </c>
      <c r="B47" s="171" t="s">
        <v>865</v>
      </c>
      <c r="C47" s="172" t="s">
        <v>920</v>
      </c>
      <c r="D47" s="171" t="s">
        <v>921</v>
      </c>
      <c r="E47" s="172" t="s">
        <v>26</v>
      </c>
      <c r="F47" s="173">
        <v>40408</v>
      </c>
      <c r="G47" s="174">
        <v>40491</v>
      </c>
      <c r="H47" s="173">
        <v>40499</v>
      </c>
      <c r="I47" s="176">
        <v>186369.34</v>
      </c>
      <c r="J47" s="175">
        <f>+I47</f>
        <v>186369.34</v>
      </c>
      <c r="K47" s="176">
        <v>118900</v>
      </c>
      <c r="L47" s="177">
        <f>+J47-K47</f>
        <v>67469.34</v>
      </c>
      <c r="M47" s="178"/>
      <c r="Q47" s="179">
        <f t="shared" si="1"/>
        <v>0</v>
      </c>
    </row>
    <row r="48" spans="1:17">
      <c r="A48" s="170" t="s">
        <v>922</v>
      </c>
      <c r="B48" s="184" t="s">
        <v>862</v>
      </c>
      <c r="C48" s="185" t="s">
        <v>923</v>
      </c>
      <c r="D48" s="186" t="s">
        <v>25</v>
      </c>
      <c r="E48" s="187" t="s">
        <v>26</v>
      </c>
      <c r="F48" s="188">
        <v>40231</v>
      </c>
      <c r="G48" s="189">
        <v>40252</v>
      </c>
      <c r="H48" s="188">
        <v>40295</v>
      </c>
      <c r="I48" s="176">
        <v>599398.92000000004</v>
      </c>
      <c r="J48" s="177"/>
      <c r="K48" s="176"/>
      <c r="L48" s="177"/>
      <c r="M48" s="178"/>
      <c r="Q48" s="179">
        <f t="shared" si="1"/>
        <v>0</v>
      </c>
    </row>
    <row r="49" spans="1:17">
      <c r="A49" s="170" t="s">
        <v>924</v>
      </c>
      <c r="B49" s="190" t="s">
        <v>865</v>
      </c>
      <c r="C49" s="185" t="s">
        <v>923</v>
      </c>
      <c r="D49" s="186" t="s">
        <v>25</v>
      </c>
      <c r="E49" s="185" t="s">
        <v>26</v>
      </c>
      <c r="F49" s="180">
        <v>40231</v>
      </c>
      <c r="G49" s="181">
        <v>40252</v>
      </c>
      <c r="H49" s="180">
        <v>40295</v>
      </c>
      <c r="I49" s="176">
        <v>105000</v>
      </c>
      <c r="J49" s="177"/>
      <c r="K49" s="176"/>
      <c r="L49" s="177"/>
      <c r="M49" s="178"/>
      <c r="Q49" s="179">
        <f t="shared" si="1"/>
        <v>0</v>
      </c>
    </row>
    <row r="50" spans="1:17">
      <c r="A50" s="170" t="s">
        <v>925</v>
      </c>
      <c r="B50" s="171" t="s">
        <v>862</v>
      </c>
      <c r="C50" s="185" t="s">
        <v>923</v>
      </c>
      <c r="D50" s="186" t="s">
        <v>25</v>
      </c>
      <c r="E50" s="185" t="s">
        <v>26</v>
      </c>
      <c r="F50" s="180">
        <v>40231</v>
      </c>
      <c r="G50" s="181">
        <v>40261</v>
      </c>
      <c r="H50" s="180">
        <v>40323</v>
      </c>
      <c r="I50" s="176">
        <v>100000</v>
      </c>
      <c r="J50" s="177"/>
      <c r="K50" s="176"/>
      <c r="L50" s="177"/>
      <c r="M50" s="178"/>
      <c r="Q50" s="179">
        <f t="shared" si="1"/>
        <v>0</v>
      </c>
    </row>
    <row r="51" spans="1:17">
      <c r="A51" s="170" t="s">
        <v>926</v>
      </c>
      <c r="B51" s="190" t="s">
        <v>865</v>
      </c>
      <c r="C51" s="185" t="s">
        <v>923</v>
      </c>
      <c r="D51" s="186" t="s">
        <v>25</v>
      </c>
      <c r="E51" s="185" t="s">
        <v>26</v>
      </c>
      <c r="F51" s="180">
        <v>40231</v>
      </c>
      <c r="G51" s="181">
        <v>40261</v>
      </c>
      <c r="H51" s="180">
        <v>40323</v>
      </c>
      <c r="I51" s="176">
        <v>55000</v>
      </c>
      <c r="J51" s="177"/>
      <c r="K51" s="176"/>
      <c r="L51" s="177"/>
      <c r="M51" s="178"/>
      <c r="Q51" s="179">
        <f t="shared" si="1"/>
        <v>0</v>
      </c>
    </row>
    <row r="52" spans="1:17">
      <c r="A52" s="170" t="s">
        <v>927</v>
      </c>
      <c r="B52" s="171" t="s">
        <v>353</v>
      </c>
      <c r="C52" s="185" t="s">
        <v>923</v>
      </c>
      <c r="D52" s="186" t="s">
        <v>25</v>
      </c>
      <c r="E52" s="185" t="s">
        <v>26</v>
      </c>
      <c r="F52" s="180">
        <v>40231</v>
      </c>
      <c r="G52" s="181">
        <v>40261</v>
      </c>
      <c r="H52" s="180">
        <v>40323</v>
      </c>
      <c r="I52" s="176">
        <v>193626</v>
      </c>
      <c r="J52" s="177">
        <f>SUM(I48:I52)</f>
        <v>1053024.92</v>
      </c>
      <c r="K52" s="176">
        <v>118900</v>
      </c>
      <c r="L52" s="177">
        <f>J52-K52</f>
        <v>934124.91999999993</v>
      </c>
      <c r="M52" s="178"/>
      <c r="Q52" s="179">
        <f>IF($J52&gt;R$8,$J52-R$8,0)</f>
        <v>331320.91999999993</v>
      </c>
    </row>
    <row r="53" spans="1:17">
      <c r="A53" s="170" t="s">
        <v>928</v>
      </c>
      <c r="B53" s="171" t="s">
        <v>862</v>
      </c>
      <c r="C53" s="172" t="s">
        <v>929</v>
      </c>
      <c r="D53" s="171" t="s">
        <v>930</v>
      </c>
      <c r="E53" s="172" t="s">
        <v>26</v>
      </c>
      <c r="F53" s="173">
        <v>40328</v>
      </c>
      <c r="G53" s="174">
        <v>40345</v>
      </c>
      <c r="H53" s="173">
        <v>40354</v>
      </c>
      <c r="I53" s="176">
        <v>138057.10999999999</v>
      </c>
      <c r="J53" s="175"/>
      <c r="K53" s="176"/>
      <c r="L53" s="177"/>
      <c r="M53" s="178"/>
      <c r="Q53" s="179">
        <f t="shared" si="1"/>
        <v>0</v>
      </c>
    </row>
    <row r="54" spans="1:17">
      <c r="A54" s="170" t="s">
        <v>931</v>
      </c>
      <c r="B54" s="171" t="s">
        <v>865</v>
      </c>
      <c r="C54" s="172" t="s">
        <v>929</v>
      </c>
      <c r="D54" s="171" t="s">
        <v>930</v>
      </c>
      <c r="E54" s="172" t="s">
        <v>26</v>
      </c>
      <c r="F54" s="173">
        <v>40328</v>
      </c>
      <c r="G54" s="174">
        <v>40345</v>
      </c>
      <c r="H54" s="173">
        <v>40354</v>
      </c>
      <c r="I54" s="176">
        <v>96457</v>
      </c>
      <c r="J54" s="175">
        <f>+I54+I53</f>
        <v>234514.11</v>
      </c>
      <c r="K54" s="176">
        <v>118900</v>
      </c>
      <c r="L54" s="177">
        <f>J54-K54</f>
        <v>115614.10999999999</v>
      </c>
      <c r="M54" s="178"/>
      <c r="Q54" s="179">
        <f t="shared" si="1"/>
        <v>0</v>
      </c>
    </row>
    <row r="55" spans="1:17">
      <c r="A55" s="170" t="s">
        <v>932</v>
      </c>
      <c r="B55" s="171" t="s">
        <v>865</v>
      </c>
      <c r="C55" s="172" t="s">
        <v>933</v>
      </c>
      <c r="D55" s="171" t="s">
        <v>54</v>
      </c>
      <c r="E55" s="172" t="s">
        <v>55</v>
      </c>
      <c r="F55" s="173">
        <v>40397</v>
      </c>
      <c r="G55" s="174">
        <v>40429</v>
      </c>
      <c r="H55" s="173">
        <v>40492</v>
      </c>
      <c r="I55" s="176">
        <v>40616.47</v>
      </c>
      <c r="J55" s="175"/>
      <c r="K55" s="176"/>
      <c r="L55" s="177"/>
      <c r="M55" s="178"/>
      <c r="Q55" s="179">
        <f t="shared" si="1"/>
        <v>0</v>
      </c>
    </row>
    <row r="56" spans="1:17">
      <c r="A56" s="170" t="s">
        <v>934</v>
      </c>
      <c r="B56" s="171" t="s">
        <v>862</v>
      </c>
      <c r="C56" s="172" t="s">
        <v>933</v>
      </c>
      <c r="D56" s="171" t="s">
        <v>54</v>
      </c>
      <c r="E56" s="172" t="s">
        <v>55</v>
      </c>
      <c r="F56" s="173">
        <v>40397</v>
      </c>
      <c r="G56" s="174">
        <v>40429</v>
      </c>
      <c r="H56" s="173">
        <v>40492</v>
      </c>
      <c r="I56" s="176">
        <v>90000</v>
      </c>
      <c r="J56" s="175">
        <f>+I56+I55</f>
        <v>130616.47</v>
      </c>
      <c r="K56" s="176">
        <v>118900</v>
      </c>
      <c r="L56" s="177">
        <f>+J56-K56</f>
        <v>11716.470000000001</v>
      </c>
      <c r="M56" s="178"/>
      <c r="Q56" s="179">
        <f t="shared" si="1"/>
        <v>0</v>
      </c>
    </row>
    <row r="57" spans="1:17">
      <c r="A57" s="170" t="s">
        <v>935</v>
      </c>
      <c r="B57" s="171" t="s">
        <v>865</v>
      </c>
      <c r="C57" s="172" t="s">
        <v>936</v>
      </c>
      <c r="D57" s="171" t="s">
        <v>937</v>
      </c>
      <c r="E57" s="172" t="s">
        <v>55</v>
      </c>
      <c r="F57" s="173">
        <v>40427</v>
      </c>
      <c r="G57" s="174">
        <v>40471</v>
      </c>
      <c r="H57" s="173">
        <v>40515</v>
      </c>
      <c r="I57" s="176">
        <v>21901.64</v>
      </c>
      <c r="J57" s="175"/>
      <c r="K57" s="176"/>
      <c r="L57" s="177"/>
      <c r="M57" s="178"/>
      <c r="Q57" s="179">
        <f t="shared" si="1"/>
        <v>0</v>
      </c>
    </row>
    <row r="58" spans="1:17">
      <c r="A58" s="170" t="s">
        <v>938</v>
      </c>
      <c r="B58" s="171" t="s">
        <v>93</v>
      </c>
      <c r="C58" s="172" t="s">
        <v>936</v>
      </c>
      <c r="D58" s="171" t="s">
        <v>937</v>
      </c>
      <c r="E58" s="172" t="s">
        <v>55</v>
      </c>
      <c r="F58" s="173">
        <v>40427</v>
      </c>
      <c r="G58" s="174">
        <v>40471</v>
      </c>
      <c r="H58" s="173">
        <v>40515</v>
      </c>
      <c r="I58" s="176">
        <v>100000</v>
      </c>
      <c r="J58" s="175">
        <f>+I58+I57</f>
        <v>121901.64</v>
      </c>
      <c r="K58" s="176">
        <v>118900</v>
      </c>
      <c r="L58" s="177">
        <f>+J58-K58</f>
        <v>3001.6399999999994</v>
      </c>
      <c r="M58" s="178"/>
      <c r="Q58" s="179">
        <f t="shared" si="1"/>
        <v>0</v>
      </c>
    </row>
    <row r="59" spans="1:17">
      <c r="A59" s="170" t="s">
        <v>939</v>
      </c>
      <c r="B59" s="171" t="s">
        <v>862</v>
      </c>
      <c r="C59" s="172" t="s">
        <v>940</v>
      </c>
      <c r="D59" s="171" t="s">
        <v>941</v>
      </c>
      <c r="E59" s="172" t="s">
        <v>55</v>
      </c>
      <c r="F59" s="173">
        <v>40258</v>
      </c>
      <c r="G59" s="174">
        <v>40304</v>
      </c>
      <c r="H59" s="173">
        <v>40325</v>
      </c>
      <c r="I59" s="176">
        <v>200000</v>
      </c>
      <c r="J59" s="175"/>
      <c r="K59" s="176"/>
      <c r="L59" s="177"/>
      <c r="M59" s="178"/>
      <c r="Q59" s="179">
        <f t="shared" si="1"/>
        <v>0</v>
      </c>
    </row>
    <row r="60" spans="1:17">
      <c r="A60" s="170" t="s">
        <v>942</v>
      </c>
      <c r="B60" s="171" t="s">
        <v>865</v>
      </c>
      <c r="C60" s="172" t="s">
        <v>940</v>
      </c>
      <c r="D60" s="171" t="s">
        <v>941</v>
      </c>
      <c r="E60" s="172" t="s">
        <v>55</v>
      </c>
      <c r="F60" s="173">
        <v>40258</v>
      </c>
      <c r="G60" s="174">
        <v>40304</v>
      </c>
      <c r="H60" s="173">
        <v>40325</v>
      </c>
      <c r="I60" s="176">
        <v>103000</v>
      </c>
      <c r="J60" s="175"/>
      <c r="K60" s="176"/>
      <c r="L60" s="177"/>
      <c r="M60" s="178"/>
      <c r="Q60" s="179">
        <f t="shared" si="1"/>
        <v>0</v>
      </c>
    </row>
    <row r="61" spans="1:17">
      <c r="A61" s="170" t="s">
        <v>943</v>
      </c>
      <c r="B61" s="171" t="s">
        <v>865</v>
      </c>
      <c r="C61" s="172" t="s">
        <v>940</v>
      </c>
      <c r="D61" s="171" t="s">
        <v>941</v>
      </c>
      <c r="E61" s="172" t="s">
        <v>55</v>
      </c>
      <c r="F61" s="173">
        <v>40258</v>
      </c>
      <c r="G61" s="174">
        <v>40304</v>
      </c>
      <c r="H61" s="173">
        <v>40325</v>
      </c>
      <c r="I61" s="176">
        <v>3844.34</v>
      </c>
      <c r="J61" s="175">
        <f>SUM(I59:I61)</f>
        <v>306844.34000000003</v>
      </c>
      <c r="K61" s="176">
        <v>118900</v>
      </c>
      <c r="L61" s="177">
        <f>+J61-K61</f>
        <v>187944.34000000003</v>
      </c>
      <c r="M61" s="178"/>
      <c r="Q61" s="179">
        <f t="shared" si="1"/>
        <v>0</v>
      </c>
    </row>
    <row r="62" spans="1:17">
      <c r="A62" s="170" t="s">
        <v>944</v>
      </c>
      <c r="B62" s="171" t="s">
        <v>245</v>
      </c>
      <c r="C62" s="172" t="s">
        <v>945</v>
      </c>
      <c r="D62" s="171" t="s">
        <v>38</v>
      </c>
      <c r="E62" s="172" t="s">
        <v>55</v>
      </c>
      <c r="F62" s="173">
        <v>40300</v>
      </c>
      <c r="G62" s="174">
        <v>40315</v>
      </c>
      <c r="H62" s="173">
        <v>40501</v>
      </c>
      <c r="I62" s="176">
        <v>170000</v>
      </c>
      <c r="J62" s="175">
        <f>+I62</f>
        <v>170000</v>
      </c>
      <c r="K62" s="176">
        <v>118900</v>
      </c>
      <c r="L62" s="177">
        <f>+J62-K62</f>
        <v>51100</v>
      </c>
      <c r="M62" s="178"/>
      <c r="Q62" s="179">
        <f t="shared" si="1"/>
        <v>0</v>
      </c>
    </row>
    <row r="63" spans="1:17">
      <c r="A63" s="170" t="s">
        <v>946</v>
      </c>
      <c r="B63" s="171" t="s">
        <v>865</v>
      </c>
      <c r="C63" s="172" t="s">
        <v>947</v>
      </c>
      <c r="D63" s="171" t="s">
        <v>448</v>
      </c>
      <c r="E63" s="172" t="s">
        <v>55</v>
      </c>
      <c r="F63" s="173">
        <v>40228</v>
      </c>
      <c r="G63" s="174">
        <v>40295</v>
      </c>
      <c r="H63" s="173">
        <v>40316</v>
      </c>
      <c r="I63" s="176">
        <v>240602.04</v>
      </c>
      <c r="J63" s="175">
        <f>+I63</f>
        <v>240602.04</v>
      </c>
      <c r="K63" s="176">
        <v>118900</v>
      </c>
      <c r="L63" s="177">
        <f>+J63-K63</f>
        <v>121702.04000000001</v>
      </c>
      <c r="M63" s="178"/>
      <c r="Q63" s="179">
        <f t="shared" si="1"/>
        <v>0</v>
      </c>
    </row>
    <row r="64" spans="1:17">
      <c r="A64" s="170" t="s">
        <v>948</v>
      </c>
      <c r="B64" s="171" t="s">
        <v>865</v>
      </c>
      <c r="C64" s="172" t="s">
        <v>949</v>
      </c>
      <c r="D64" s="171" t="s">
        <v>25</v>
      </c>
      <c r="E64" s="172" t="s">
        <v>26</v>
      </c>
      <c r="F64" s="173">
        <v>40338</v>
      </c>
      <c r="G64" s="174">
        <v>40470</v>
      </c>
      <c r="H64" s="173">
        <v>40493</v>
      </c>
      <c r="I64" s="176">
        <v>225442.9</v>
      </c>
      <c r="J64" s="175"/>
      <c r="K64" s="176"/>
      <c r="L64" s="177"/>
      <c r="M64" s="178"/>
      <c r="Q64" s="179">
        <f t="shared" si="1"/>
        <v>0</v>
      </c>
    </row>
    <row r="65" spans="1:17">
      <c r="A65" s="170" t="s">
        <v>950</v>
      </c>
      <c r="B65" s="171" t="s">
        <v>862</v>
      </c>
      <c r="C65" s="172" t="s">
        <v>949</v>
      </c>
      <c r="D65" s="171" t="s">
        <v>25</v>
      </c>
      <c r="E65" s="172" t="s">
        <v>26</v>
      </c>
      <c r="F65" s="173">
        <v>40338</v>
      </c>
      <c r="G65" s="174">
        <v>40470</v>
      </c>
      <c r="H65" s="173">
        <v>40493</v>
      </c>
      <c r="I65" s="176">
        <v>288888.62</v>
      </c>
      <c r="J65" s="175">
        <f>+I65+I64</f>
        <v>514331.52</v>
      </c>
      <c r="K65" s="176">
        <v>118900</v>
      </c>
      <c r="L65" s="177">
        <f>+J65-K65</f>
        <v>395431.52</v>
      </c>
      <c r="M65" s="178"/>
      <c r="Q65" s="179">
        <f t="shared" si="1"/>
        <v>0</v>
      </c>
    </row>
    <row r="66" spans="1:17">
      <c r="A66" s="170" t="s">
        <v>951</v>
      </c>
      <c r="B66" s="171" t="s">
        <v>862</v>
      </c>
      <c r="C66" s="172" t="s">
        <v>952</v>
      </c>
      <c r="D66" s="171" t="s">
        <v>38</v>
      </c>
      <c r="E66" s="172" t="s">
        <v>55</v>
      </c>
      <c r="F66" s="173">
        <v>40303</v>
      </c>
      <c r="G66" s="174">
        <v>40331</v>
      </c>
      <c r="H66" s="173">
        <v>40346</v>
      </c>
      <c r="I66" s="176">
        <v>104449.31</v>
      </c>
      <c r="J66" s="175"/>
      <c r="K66" s="176"/>
      <c r="L66" s="177"/>
      <c r="M66" s="178"/>
      <c r="Q66" s="179">
        <f t="shared" si="1"/>
        <v>0</v>
      </c>
    </row>
    <row r="67" spans="1:17">
      <c r="A67" s="170" t="s">
        <v>953</v>
      </c>
      <c r="B67" s="171" t="s">
        <v>865</v>
      </c>
      <c r="C67" s="172" t="s">
        <v>952</v>
      </c>
      <c r="D67" s="171" t="s">
        <v>38</v>
      </c>
      <c r="E67" s="172" t="s">
        <v>55</v>
      </c>
      <c r="F67" s="173">
        <v>40303</v>
      </c>
      <c r="G67" s="174">
        <v>40331</v>
      </c>
      <c r="H67" s="173">
        <v>40346</v>
      </c>
      <c r="I67" s="176">
        <v>40870.92</v>
      </c>
      <c r="J67" s="175">
        <f>+I67+I66</f>
        <v>145320.22999999998</v>
      </c>
      <c r="K67" s="176">
        <v>118900</v>
      </c>
      <c r="L67" s="177">
        <f>J67-K67</f>
        <v>26420.229999999981</v>
      </c>
      <c r="M67" s="178"/>
      <c r="Q67" s="179">
        <f t="shared" si="1"/>
        <v>0</v>
      </c>
    </row>
    <row r="68" spans="1:17">
      <c r="A68" s="170" t="s">
        <v>954</v>
      </c>
      <c r="B68" s="171" t="s">
        <v>862</v>
      </c>
      <c r="C68" s="172" t="s">
        <v>955</v>
      </c>
      <c r="D68" s="171" t="s">
        <v>222</v>
      </c>
      <c r="E68" s="172" t="s">
        <v>55</v>
      </c>
      <c r="F68" s="173">
        <v>40400</v>
      </c>
      <c r="G68" s="174">
        <v>40430</v>
      </c>
      <c r="H68" s="173">
        <v>40438</v>
      </c>
      <c r="I68" s="176">
        <v>108498.72</v>
      </c>
      <c r="J68" s="175"/>
      <c r="K68" s="176"/>
      <c r="L68" s="177"/>
      <c r="M68" s="178"/>
      <c r="Q68" s="179">
        <f t="shared" si="1"/>
        <v>0</v>
      </c>
    </row>
    <row r="69" spans="1:17">
      <c r="A69" s="170" t="s">
        <v>956</v>
      </c>
      <c r="B69" s="171" t="s">
        <v>865</v>
      </c>
      <c r="C69" s="172" t="s">
        <v>955</v>
      </c>
      <c r="D69" s="171" t="s">
        <v>222</v>
      </c>
      <c r="E69" s="172" t="s">
        <v>55</v>
      </c>
      <c r="F69" s="173">
        <v>40400</v>
      </c>
      <c r="G69" s="174">
        <v>40430</v>
      </c>
      <c r="H69" s="173">
        <v>40438</v>
      </c>
      <c r="I69" s="176">
        <v>37289.339999999997</v>
      </c>
      <c r="J69" s="175">
        <f>+I69+I68</f>
        <v>145788.06</v>
      </c>
      <c r="K69" s="176">
        <v>118900</v>
      </c>
      <c r="L69" s="177">
        <f>+J69-K69</f>
        <v>26888.059999999998</v>
      </c>
      <c r="M69" s="178"/>
      <c r="Q69" s="179">
        <f t="shared" si="1"/>
        <v>0</v>
      </c>
    </row>
    <row r="70" spans="1:17">
      <c r="A70" s="170" t="s">
        <v>957</v>
      </c>
      <c r="B70" s="171" t="s">
        <v>958</v>
      </c>
      <c r="C70" s="172" t="s">
        <v>959</v>
      </c>
      <c r="D70" s="171" t="s">
        <v>960</v>
      </c>
      <c r="E70" s="172" t="s">
        <v>26</v>
      </c>
      <c r="F70" s="173">
        <v>40469</v>
      </c>
      <c r="G70" s="174">
        <v>40493</v>
      </c>
      <c r="H70" s="173">
        <v>40529</v>
      </c>
      <c r="I70" s="176">
        <v>5000</v>
      </c>
      <c r="J70" s="175"/>
      <c r="K70" s="176"/>
      <c r="L70" s="177"/>
      <c r="M70" s="178"/>
      <c r="Q70" s="179">
        <f t="shared" si="1"/>
        <v>0</v>
      </c>
    </row>
    <row r="71" spans="1:17">
      <c r="A71" s="170" t="s">
        <v>961</v>
      </c>
      <c r="B71" s="171" t="s">
        <v>865</v>
      </c>
      <c r="C71" s="172" t="s">
        <v>959</v>
      </c>
      <c r="D71" s="171" t="s">
        <v>960</v>
      </c>
      <c r="E71" s="172" t="s">
        <v>26</v>
      </c>
      <c r="F71" s="173">
        <v>40469</v>
      </c>
      <c r="G71" s="174">
        <v>40493</v>
      </c>
      <c r="H71" s="173">
        <v>40529</v>
      </c>
      <c r="I71" s="176">
        <v>13924.82</v>
      </c>
      <c r="J71" s="175"/>
      <c r="K71" s="176"/>
      <c r="L71" s="177"/>
      <c r="M71" s="178"/>
      <c r="Q71" s="179">
        <f t="shared" si="1"/>
        <v>0</v>
      </c>
    </row>
    <row r="72" spans="1:17">
      <c r="A72" s="170" t="s">
        <v>962</v>
      </c>
      <c r="B72" s="171" t="s">
        <v>862</v>
      </c>
      <c r="C72" s="172" t="s">
        <v>959</v>
      </c>
      <c r="D72" s="171" t="s">
        <v>960</v>
      </c>
      <c r="E72" s="172" t="s">
        <v>26</v>
      </c>
      <c r="F72" s="173">
        <v>40469</v>
      </c>
      <c r="G72" s="174">
        <v>40493</v>
      </c>
      <c r="H72" s="173">
        <v>40529</v>
      </c>
      <c r="I72" s="176">
        <v>124499.49</v>
      </c>
      <c r="J72" s="175">
        <f>SUM(I70:I72)</f>
        <v>143424.31</v>
      </c>
      <c r="K72" s="176">
        <v>118900</v>
      </c>
      <c r="L72" s="177">
        <f>+J72-K72</f>
        <v>24524.309999999998</v>
      </c>
      <c r="M72" s="178"/>
      <c r="Q72" s="179">
        <f t="shared" si="1"/>
        <v>0</v>
      </c>
    </row>
    <row r="73" spans="1:17">
      <c r="A73" s="170" t="s">
        <v>963</v>
      </c>
      <c r="B73" s="171" t="s">
        <v>353</v>
      </c>
      <c r="C73" s="172" t="s">
        <v>964</v>
      </c>
      <c r="D73" s="171" t="s">
        <v>38</v>
      </c>
      <c r="E73" s="172" t="s">
        <v>33</v>
      </c>
      <c r="F73" s="173">
        <v>40259</v>
      </c>
      <c r="G73" s="174">
        <v>40323</v>
      </c>
      <c r="H73" s="173">
        <v>40351</v>
      </c>
      <c r="I73" s="176">
        <v>153741.69</v>
      </c>
      <c r="J73" s="175">
        <f>I73</f>
        <v>153741.69</v>
      </c>
      <c r="K73" s="176">
        <v>118900</v>
      </c>
      <c r="L73" s="177">
        <f>J73-K73</f>
        <v>34841.69</v>
      </c>
      <c r="M73" s="178"/>
      <c r="Q73" s="179">
        <f t="shared" si="1"/>
        <v>0</v>
      </c>
    </row>
    <row r="74" spans="1:17">
      <c r="A74" s="170" t="s">
        <v>965</v>
      </c>
      <c r="B74" s="171" t="s">
        <v>862</v>
      </c>
      <c r="C74" s="172" t="s">
        <v>966</v>
      </c>
      <c r="D74" s="171" t="s">
        <v>25</v>
      </c>
      <c r="E74" s="172" t="s">
        <v>26</v>
      </c>
      <c r="F74" s="173">
        <v>40191</v>
      </c>
      <c r="G74" s="174">
        <v>40319</v>
      </c>
      <c r="H74" s="173">
        <v>40338</v>
      </c>
      <c r="I74" s="176">
        <v>109000</v>
      </c>
      <c r="J74" s="175"/>
      <c r="K74" s="176"/>
      <c r="L74" s="177"/>
      <c r="M74" s="178"/>
      <c r="Q74" s="179">
        <f t="shared" ref="Q74:Q105" si="2">IF($J74&gt;R$8,$J74-R$8,0)</f>
        <v>0</v>
      </c>
    </row>
    <row r="75" spans="1:17">
      <c r="A75" s="170" t="s">
        <v>967</v>
      </c>
      <c r="B75" s="171" t="s">
        <v>865</v>
      </c>
      <c r="C75" s="172" t="s">
        <v>966</v>
      </c>
      <c r="D75" s="171" t="s">
        <v>25</v>
      </c>
      <c r="E75" s="172" t="s">
        <v>26</v>
      </c>
      <c r="F75" s="173">
        <v>40191</v>
      </c>
      <c r="G75" s="174">
        <v>40319</v>
      </c>
      <c r="H75" s="173">
        <v>40338</v>
      </c>
      <c r="I75" s="176">
        <v>114177.18</v>
      </c>
      <c r="J75" s="175">
        <f>+I75+I74</f>
        <v>223177.18</v>
      </c>
      <c r="K75" s="176">
        <v>118900</v>
      </c>
      <c r="L75" s="177">
        <f>J75-K75</f>
        <v>104277.18</v>
      </c>
      <c r="M75" s="178"/>
      <c r="Q75" s="179">
        <f t="shared" si="2"/>
        <v>0</v>
      </c>
    </row>
    <row r="76" spans="1:17">
      <c r="A76" s="170" t="s">
        <v>968</v>
      </c>
      <c r="B76" s="171" t="s">
        <v>862</v>
      </c>
      <c r="C76" s="172" t="s">
        <v>969</v>
      </c>
      <c r="D76" s="171" t="s">
        <v>25</v>
      </c>
      <c r="E76" s="172" t="s">
        <v>26</v>
      </c>
      <c r="F76" s="173">
        <v>40268</v>
      </c>
      <c r="G76" s="174">
        <v>40330</v>
      </c>
      <c r="H76" s="173">
        <v>40330</v>
      </c>
      <c r="I76" s="176">
        <v>90049.95</v>
      </c>
      <c r="J76" s="175"/>
      <c r="K76" s="176"/>
      <c r="L76" s="177"/>
      <c r="M76" s="178"/>
      <c r="Q76" s="179">
        <f t="shared" si="2"/>
        <v>0</v>
      </c>
    </row>
    <row r="77" spans="1:17">
      <c r="A77" s="170" t="s">
        <v>970</v>
      </c>
      <c r="B77" s="171" t="s">
        <v>865</v>
      </c>
      <c r="C77" s="172" t="s">
        <v>969</v>
      </c>
      <c r="D77" s="171" t="s">
        <v>25</v>
      </c>
      <c r="E77" s="172" t="s">
        <v>26</v>
      </c>
      <c r="F77" s="173">
        <v>40268</v>
      </c>
      <c r="G77" s="174">
        <v>40330</v>
      </c>
      <c r="H77" s="173">
        <v>40330</v>
      </c>
      <c r="I77" s="176">
        <v>66837.56</v>
      </c>
      <c r="J77" s="175"/>
      <c r="K77" s="176"/>
      <c r="L77" s="177"/>
      <c r="M77" s="178"/>
      <c r="Q77" s="179">
        <f t="shared" si="2"/>
        <v>0</v>
      </c>
    </row>
    <row r="78" spans="1:17">
      <c r="A78" s="170" t="s">
        <v>971</v>
      </c>
      <c r="B78" s="171" t="s">
        <v>865</v>
      </c>
      <c r="C78" s="172" t="s">
        <v>969</v>
      </c>
      <c r="D78" s="171" t="s">
        <v>25</v>
      </c>
      <c r="E78" s="172" t="s">
        <v>26</v>
      </c>
      <c r="F78" s="173">
        <v>40268</v>
      </c>
      <c r="G78" s="174">
        <v>40330</v>
      </c>
      <c r="H78" s="173">
        <v>40330</v>
      </c>
      <c r="I78" s="176">
        <v>117889.48</v>
      </c>
      <c r="J78" s="175">
        <f>+I78+I77+I76</f>
        <v>274776.99</v>
      </c>
      <c r="K78" s="176">
        <v>118900</v>
      </c>
      <c r="L78" s="177">
        <f>+J78-K78</f>
        <v>155876.99</v>
      </c>
      <c r="M78" s="178"/>
      <c r="Q78" s="179">
        <f t="shared" si="2"/>
        <v>0</v>
      </c>
    </row>
    <row r="79" spans="1:17">
      <c r="A79" s="170" t="s">
        <v>972</v>
      </c>
      <c r="B79" s="171" t="s">
        <v>245</v>
      </c>
      <c r="C79" s="172" t="s">
        <v>973</v>
      </c>
      <c r="D79" s="171" t="s">
        <v>553</v>
      </c>
      <c r="E79" s="172" t="s">
        <v>55</v>
      </c>
      <c r="F79" s="173">
        <v>40360</v>
      </c>
      <c r="G79" s="174">
        <v>40400</v>
      </c>
      <c r="H79" s="173">
        <v>40501</v>
      </c>
      <c r="I79" s="176">
        <v>130000</v>
      </c>
      <c r="J79" s="175">
        <f>+I79</f>
        <v>130000</v>
      </c>
      <c r="K79" s="176">
        <v>118900</v>
      </c>
      <c r="L79" s="177">
        <f>+J79-K79</f>
        <v>11100</v>
      </c>
      <c r="M79" s="178"/>
      <c r="Q79" s="179">
        <f t="shared" si="2"/>
        <v>0</v>
      </c>
    </row>
    <row r="80" spans="1:17">
      <c r="A80" s="170" t="s">
        <v>974</v>
      </c>
      <c r="B80" s="171" t="s">
        <v>862</v>
      </c>
      <c r="C80" s="172" t="s">
        <v>975</v>
      </c>
      <c r="D80" s="171" t="s">
        <v>38</v>
      </c>
      <c r="E80" s="172" t="s">
        <v>55</v>
      </c>
      <c r="F80" s="173">
        <v>40314</v>
      </c>
      <c r="G80" s="174">
        <v>40344</v>
      </c>
      <c r="H80" s="173">
        <v>40371</v>
      </c>
      <c r="I80" s="176">
        <v>1015000</v>
      </c>
      <c r="J80" s="175"/>
      <c r="K80" s="176"/>
      <c r="L80" s="177"/>
      <c r="M80" s="178"/>
      <c r="Q80" s="179">
        <f t="shared" si="2"/>
        <v>0</v>
      </c>
    </row>
    <row r="81" spans="1:17">
      <c r="A81" s="170" t="s">
        <v>976</v>
      </c>
      <c r="B81" s="171" t="s">
        <v>865</v>
      </c>
      <c r="C81" s="172" t="s">
        <v>975</v>
      </c>
      <c r="D81" s="171" t="s">
        <v>38</v>
      </c>
      <c r="E81" s="172" t="s">
        <v>55</v>
      </c>
      <c r="F81" s="173">
        <v>40314</v>
      </c>
      <c r="G81" s="174">
        <v>40344</v>
      </c>
      <c r="H81" s="173">
        <v>40371</v>
      </c>
      <c r="I81" s="176">
        <v>55000</v>
      </c>
      <c r="J81" s="175">
        <f>+I81+I80</f>
        <v>1070000</v>
      </c>
      <c r="K81" s="176">
        <v>118900</v>
      </c>
      <c r="L81" s="177">
        <f>+J81-K81</f>
        <v>951100</v>
      </c>
      <c r="M81" s="178"/>
      <c r="Q81" s="179">
        <f>IF($J81&gt;R$8,$J81-R$8,0)</f>
        <v>348296</v>
      </c>
    </row>
    <row r="82" spans="1:17">
      <c r="A82" s="170" t="s">
        <v>977</v>
      </c>
      <c r="B82" s="171" t="s">
        <v>865</v>
      </c>
      <c r="C82" s="172" t="s">
        <v>978</v>
      </c>
      <c r="D82" s="171" t="s">
        <v>750</v>
      </c>
      <c r="E82" s="172" t="s">
        <v>55</v>
      </c>
      <c r="F82" s="173">
        <v>40209</v>
      </c>
      <c r="G82" s="174">
        <v>40242</v>
      </c>
      <c r="H82" s="173">
        <v>40500</v>
      </c>
      <c r="I82" s="176">
        <v>39121.699999999997</v>
      </c>
      <c r="J82" s="175"/>
      <c r="K82" s="176"/>
      <c r="L82" s="177"/>
      <c r="M82" s="178"/>
      <c r="Q82" s="179">
        <f t="shared" si="2"/>
        <v>0</v>
      </c>
    </row>
    <row r="83" spans="1:17">
      <c r="A83" s="170" t="s">
        <v>979</v>
      </c>
      <c r="B83" s="171" t="s">
        <v>862</v>
      </c>
      <c r="C83" s="172" t="s">
        <v>978</v>
      </c>
      <c r="D83" s="171" t="s">
        <v>750</v>
      </c>
      <c r="E83" s="172" t="s">
        <v>55</v>
      </c>
      <c r="F83" s="173">
        <v>40209</v>
      </c>
      <c r="G83" s="174">
        <v>40242</v>
      </c>
      <c r="H83" s="173">
        <v>40500</v>
      </c>
      <c r="I83" s="176">
        <v>110277.07</v>
      </c>
      <c r="J83" s="175">
        <f>+I83+I82</f>
        <v>149398.77000000002</v>
      </c>
      <c r="K83" s="176">
        <v>118900</v>
      </c>
      <c r="L83" s="177">
        <f>+J83-K83</f>
        <v>30498.770000000019</v>
      </c>
      <c r="M83" s="178"/>
      <c r="Q83" s="179">
        <f t="shared" si="2"/>
        <v>0</v>
      </c>
    </row>
    <row r="84" spans="1:17">
      <c r="A84" s="170" t="s">
        <v>980</v>
      </c>
      <c r="B84" s="171" t="s">
        <v>862</v>
      </c>
      <c r="C84" s="172" t="s">
        <v>981</v>
      </c>
      <c r="D84" s="171" t="s">
        <v>38</v>
      </c>
      <c r="E84" s="172" t="s">
        <v>55</v>
      </c>
      <c r="F84" s="173">
        <v>40362</v>
      </c>
      <c r="G84" s="174">
        <v>40378</v>
      </c>
      <c r="H84" s="173">
        <v>40424</v>
      </c>
      <c r="I84" s="176">
        <v>100000</v>
      </c>
      <c r="J84" s="175"/>
      <c r="K84" s="176"/>
      <c r="L84" s="177"/>
      <c r="M84" s="178"/>
      <c r="Q84" s="179">
        <f t="shared" si="2"/>
        <v>0</v>
      </c>
    </row>
    <row r="85" spans="1:17">
      <c r="A85" s="170" t="s">
        <v>982</v>
      </c>
      <c r="B85" s="171" t="s">
        <v>865</v>
      </c>
      <c r="C85" s="172" t="s">
        <v>981</v>
      </c>
      <c r="D85" s="171" t="s">
        <v>38</v>
      </c>
      <c r="E85" s="172" t="s">
        <v>55</v>
      </c>
      <c r="F85" s="173">
        <v>40362</v>
      </c>
      <c r="G85" s="174">
        <v>40378</v>
      </c>
      <c r="H85" s="173">
        <v>40424</v>
      </c>
      <c r="I85" s="176">
        <v>15157.42</v>
      </c>
      <c r="J85" s="175"/>
      <c r="K85" s="176"/>
      <c r="L85" s="177"/>
      <c r="M85" s="178"/>
      <c r="Q85" s="179">
        <f t="shared" si="2"/>
        <v>0</v>
      </c>
    </row>
    <row r="86" spans="1:17">
      <c r="A86" s="170" t="s">
        <v>983</v>
      </c>
      <c r="B86" s="171" t="s">
        <v>353</v>
      </c>
      <c r="C86" s="172" t="s">
        <v>981</v>
      </c>
      <c r="D86" s="171" t="s">
        <v>38</v>
      </c>
      <c r="E86" s="172" t="s">
        <v>55</v>
      </c>
      <c r="F86" s="173">
        <v>40362</v>
      </c>
      <c r="G86" s="174">
        <v>40378</v>
      </c>
      <c r="H86" s="173">
        <v>40424</v>
      </c>
      <c r="I86" s="176">
        <v>87000</v>
      </c>
      <c r="J86" s="175"/>
      <c r="K86" s="176"/>
      <c r="L86" s="177"/>
      <c r="M86" s="178"/>
      <c r="Q86" s="179">
        <f t="shared" si="2"/>
        <v>0</v>
      </c>
    </row>
    <row r="87" spans="1:17">
      <c r="A87" s="170" t="s">
        <v>984</v>
      </c>
      <c r="B87" s="171" t="s">
        <v>93</v>
      </c>
      <c r="C87" s="172" t="s">
        <v>981</v>
      </c>
      <c r="D87" s="171" t="s">
        <v>38</v>
      </c>
      <c r="E87" s="172" t="s">
        <v>55</v>
      </c>
      <c r="F87" s="173">
        <v>40362</v>
      </c>
      <c r="G87" s="174">
        <v>40378</v>
      </c>
      <c r="H87" s="173">
        <v>40424</v>
      </c>
      <c r="I87" s="176">
        <v>5000</v>
      </c>
      <c r="J87" s="175">
        <f>SUM(I84:I87)</f>
        <v>207157.41999999998</v>
      </c>
      <c r="K87" s="176">
        <v>118900</v>
      </c>
      <c r="L87" s="177">
        <f>+J87-K87</f>
        <v>88257.419999999984</v>
      </c>
      <c r="M87" s="178"/>
      <c r="Q87" s="179">
        <f t="shared" si="2"/>
        <v>0</v>
      </c>
    </row>
    <row r="88" spans="1:17">
      <c r="A88" s="170" t="s">
        <v>985</v>
      </c>
      <c r="B88" s="171" t="s">
        <v>862</v>
      </c>
      <c r="C88" s="172" t="s">
        <v>986</v>
      </c>
      <c r="D88" s="171" t="s">
        <v>25</v>
      </c>
      <c r="E88" s="172" t="s">
        <v>26</v>
      </c>
      <c r="F88" s="173">
        <v>40287</v>
      </c>
      <c r="G88" s="174">
        <v>40305</v>
      </c>
      <c r="H88" s="173">
        <v>40325</v>
      </c>
      <c r="I88" s="176">
        <v>39050.58</v>
      </c>
      <c r="J88" s="175"/>
      <c r="K88" s="176"/>
      <c r="L88" s="177"/>
      <c r="M88" s="178"/>
      <c r="Q88" s="179">
        <f t="shared" si="2"/>
        <v>0</v>
      </c>
    </row>
    <row r="89" spans="1:17">
      <c r="A89" s="170" t="s">
        <v>987</v>
      </c>
      <c r="B89" s="171" t="s">
        <v>865</v>
      </c>
      <c r="C89" s="172" t="s">
        <v>986</v>
      </c>
      <c r="D89" s="171" t="s">
        <v>25</v>
      </c>
      <c r="E89" s="172" t="s">
        <v>26</v>
      </c>
      <c r="F89" s="173">
        <v>40287</v>
      </c>
      <c r="G89" s="174">
        <v>40305</v>
      </c>
      <c r="H89" s="173">
        <v>40325</v>
      </c>
      <c r="I89" s="176">
        <v>114034.26</v>
      </c>
      <c r="J89" s="175">
        <f>SUM(I88:I89)</f>
        <v>153084.84</v>
      </c>
      <c r="K89" s="176">
        <v>118900</v>
      </c>
      <c r="L89" s="177">
        <f>+J89-K89</f>
        <v>34184.839999999997</v>
      </c>
      <c r="M89" s="178"/>
      <c r="Q89" s="179">
        <f t="shared" si="2"/>
        <v>0</v>
      </c>
    </row>
    <row r="90" spans="1:17">
      <c r="A90" s="170" t="s">
        <v>988</v>
      </c>
      <c r="B90" s="171" t="s">
        <v>862</v>
      </c>
      <c r="C90" s="172" t="s">
        <v>989</v>
      </c>
      <c r="D90" s="171" t="s">
        <v>990</v>
      </c>
      <c r="E90" s="172" t="s">
        <v>55</v>
      </c>
      <c r="F90" s="173">
        <v>40425</v>
      </c>
      <c r="G90" s="174">
        <v>40519</v>
      </c>
      <c r="H90" s="173">
        <v>40534</v>
      </c>
      <c r="I90" s="176">
        <v>43789.46</v>
      </c>
      <c r="J90" s="175"/>
      <c r="K90" s="176"/>
      <c r="L90" s="177"/>
      <c r="M90" s="178"/>
      <c r="Q90" s="179">
        <f t="shared" si="2"/>
        <v>0</v>
      </c>
    </row>
    <row r="91" spans="1:17">
      <c r="A91" s="170" t="s">
        <v>991</v>
      </c>
      <c r="B91" s="171" t="s">
        <v>865</v>
      </c>
      <c r="C91" s="172" t="s">
        <v>989</v>
      </c>
      <c r="D91" s="171" t="s">
        <v>990</v>
      </c>
      <c r="E91" s="172" t="s">
        <v>55</v>
      </c>
      <c r="F91" s="173">
        <v>40425</v>
      </c>
      <c r="G91" s="174">
        <v>40519</v>
      </c>
      <c r="H91" s="173">
        <v>40534</v>
      </c>
      <c r="I91" s="176">
        <v>205.22</v>
      </c>
      <c r="J91" s="175"/>
      <c r="K91" s="176"/>
      <c r="L91" s="177"/>
      <c r="M91" s="178"/>
      <c r="Q91" s="179">
        <f t="shared" si="2"/>
        <v>0</v>
      </c>
    </row>
    <row r="92" spans="1:17">
      <c r="A92" s="170" t="s">
        <v>992</v>
      </c>
      <c r="B92" s="171" t="s">
        <v>862</v>
      </c>
      <c r="C92" s="172" t="s">
        <v>989</v>
      </c>
      <c r="D92" s="171" t="s">
        <v>990</v>
      </c>
      <c r="E92" s="172" t="s">
        <v>55</v>
      </c>
      <c r="F92" s="173">
        <v>40425</v>
      </c>
      <c r="G92" s="174">
        <v>40520</v>
      </c>
      <c r="H92" s="173">
        <v>40527</v>
      </c>
      <c r="I92" s="176">
        <v>142799.53</v>
      </c>
      <c r="J92" s="175"/>
      <c r="K92" s="176"/>
      <c r="L92" s="177"/>
      <c r="M92" s="178"/>
      <c r="Q92" s="179">
        <f t="shared" si="2"/>
        <v>0</v>
      </c>
    </row>
    <row r="93" spans="1:17">
      <c r="A93" s="170" t="s">
        <v>993</v>
      </c>
      <c r="B93" s="171" t="s">
        <v>865</v>
      </c>
      <c r="C93" s="172" t="s">
        <v>989</v>
      </c>
      <c r="D93" s="171" t="s">
        <v>990</v>
      </c>
      <c r="E93" s="172" t="s">
        <v>55</v>
      </c>
      <c r="F93" s="173">
        <v>40425</v>
      </c>
      <c r="G93" s="174">
        <v>40520</v>
      </c>
      <c r="H93" s="173">
        <v>40527</v>
      </c>
      <c r="I93" s="176">
        <v>720</v>
      </c>
      <c r="J93" s="175">
        <f>SUM(I90:I93)</f>
        <v>187514.21</v>
      </c>
      <c r="K93" s="176">
        <v>118900</v>
      </c>
      <c r="L93" s="177">
        <f>+J93-K93</f>
        <v>68614.209999999992</v>
      </c>
      <c r="M93" s="178"/>
      <c r="Q93" s="179">
        <f t="shared" si="2"/>
        <v>0</v>
      </c>
    </row>
    <row r="94" spans="1:17">
      <c r="A94" s="170" t="s">
        <v>994</v>
      </c>
      <c r="B94" s="171" t="s">
        <v>245</v>
      </c>
      <c r="C94" s="172" t="s">
        <v>995</v>
      </c>
      <c r="D94" s="171" t="s">
        <v>38</v>
      </c>
      <c r="E94" s="172" t="s">
        <v>55</v>
      </c>
      <c r="F94" s="173">
        <v>40373</v>
      </c>
      <c r="G94" s="174">
        <v>40403</v>
      </c>
      <c r="H94" s="173">
        <v>40416</v>
      </c>
      <c r="I94" s="176">
        <v>105000</v>
      </c>
      <c r="J94" s="175"/>
      <c r="K94" s="176"/>
      <c r="L94" s="177"/>
      <c r="M94" s="178"/>
      <c r="Q94" s="179">
        <f t="shared" si="2"/>
        <v>0</v>
      </c>
    </row>
    <row r="95" spans="1:17">
      <c r="A95" s="170" t="s">
        <v>996</v>
      </c>
      <c r="B95" s="171" t="s">
        <v>865</v>
      </c>
      <c r="C95" s="172" t="s">
        <v>995</v>
      </c>
      <c r="D95" s="171" t="s">
        <v>38</v>
      </c>
      <c r="E95" s="172" t="s">
        <v>55</v>
      </c>
      <c r="F95" s="173">
        <v>40373</v>
      </c>
      <c r="G95" s="174">
        <v>40403</v>
      </c>
      <c r="H95" s="173">
        <v>40416</v>
      </c>
      <c r="I95" s="176">
        <v>15906.85</v>
      </c>
      <c r="J95" s="175">
        <f>+I95+I94</f>
        <v>120906.85</v>
      </c>
      <c r="K95" s="176">
        <v>118900</v>
      </c>
      <c r="L95" s="177">
        <f>+J95-K95</f>
        <v>2006.8500000000058</v>
      </c>
      <c r="M95" s="178"/>
      <c r="Q95" s="179">
        <f t="shared" si="2"/>
        <v>0</v>
      </c>
    </row>
    <row r="96" spans="1:17">
      <c r="A96" s="170" t="s">
        <v>997</v>
      </c>
      <c r="B96" s="171" t="s">
        <v>865</v>
      </c>
      <c r="C96" s="172" t="s">
        <v>998</v>
      </c>
      <c r="D96" s="171" t="s">
        <v>38</v>
      </c>
      <c r="E96" s="172" t="s">
        <v>55</v>
      </c>
      <c r="F96" s="173">
        <v>40449</v>
      </c>
      <c r="G96" s="174">
        <v>40485</v>
      </c>
      <c r="H96" s="173">
        <v>40529</v>
      </c>
      <c r="I96" s="176">
        <v>20799.89</v>
      </c>
      <c r="J96" s="175"/>
      <c r="K96" s="176"/>
      <c r="L96" s="177"/>
      <c r="M96" s="178"/>
      <c r="Q96" s="179">
        <f t="shared" si="2"/>
        <v>0</v>
      </c>
    </row>
    <row r="97" spans="1:17">
      <c r="A97" s="170" t="s">
        <v>999</v>
      </c>
      <c r="B97" s="171" t="s">
        <v>862</v>
      </c>
      <c r="C97" s="172" t="s">
        <v>998</v>
      </c>
      <c r="D97" s="171" t="s">
        <v>38</v>
      </c>
      <c r="E97" s="172" t="s">
        <v>55</v>
      </c>
      <c r="F97" s="173">
        <v>40449</v>
      </c>
      <c r="G97" s="174">
        <v>40485</v>
      </c>
      <c r="H97" s="173">
        <v>40529</v>
      </c>
      <c r="I97" s="176">
        <v>150000</v>
      </c>
      <c r="J97" s="175">
        <f>+I97+I96</f>
        <v>170799.89</v>
      </c>
      <c r="K97" s="176">
        <v>118900</v>
      </c>
      <c r="L97" s="177">
        <f>+J97-K97</f>
        <v>51899.890000000014</v>
      </c>
      <c r="M97" s="178"/>
      <c r="Q97" s="179">
        <f t="shared" si="2"/>
        <v>0</v>
      </c>
    </row>
    <row r="98" spans="1:17">
      <c r="A98" s="170" t="s">
        <v>1000</v>
      </c>
      <c r="B98" s="171" t="s">
        <v>862</v>
      </c>
      <c r="C98" s="172" t="s">
        <v>1001</v>
      </c>
      <c r="D98" s="171" t="s">
        <v>38</v>
      </c>
      <c r="E98" s="172" t="s">
        <v>55</v>
      </c>
      <c r="F98" s="173">
        <v>40320</v>
      </c>
      <c r="G98" s="174">
        <v>40351</v>
      </c>
      <c r="H98" s="173">
        <v>40402</v>
      </c>
      <c r="I98" s="176">
        <v>79000</v>
      </c>
      <c r="J98" s="175"/>
      <c r="K98" s="176"/>
      <c r="L98" s="177"/>
      <c r="M98" s="178"/>
      <c r="Q98" s="179">
        <f t="shared" si="2"/>
        <v>0</v>
      </c>
    </row>
    <row r="99" spans="1:17">
      <c r="A99" s="170" t="s">
        <v>1002</v>
      </c>
      <c r="B99" s="171" t="s">
        <v>865</v>
      </c>
      <c r="C99" s="172" t="s">
        <v>1001</v>
      </c>
      <c r="D99" s="171" t="s">
        <v>38</v>
      </c>
      <c r="E99" s="172" t="s">
        <v>55</v>
      </c>
      <c r="F99" s="173">
        <v>40320</v>
      </c>
      <c r="G99" s="174">
        <v>40351</v>
      </c>
      <c r="H99" s="173">
        <v>40402</v>
      </c>
      <c r="I99" s="176">
        <v>6505.25</v>
      </c>
      <c r="J99" s="175"/>
      <c r="K99" s="176"/>
      <c r="L99" s="177"/>
      <c r="M99" s="178"/>
      <c r="Q99" s="179">
        <f t="shared" si="2"/>
        <v>0</v>
      </c>
    </row>
    <row r="100" spans="1:17">
      <c r="A100" s="170" t="s">
        <v>1003</v>
      </c>
      <c r="B100" s="171" t="s">
        <v>353</v>
      </c>
      <c r="C100" s="172" t="s">
        <v>1001</v>
      </c>
      <c r="D100" s="171" t="s">
        <v>38</v>
      </c>
      <c r="E100" s="172" t="s">
        <v>55</v>
      </c>
      <c r="F100" s="173">
        <v>40320</v>
      </c>
      <c r="G100" s="174">
        <v>40351</v>
      </c>
      <c r="H100" s="173">
        <v>40402</v>
      </c>
      <c r="I100" s="176">
        <v>218367.87</v>
      </c>
      <c r="J100" s="175">
        <f>SUM(I98:I100)</f>
        <v>303873.12</v>
      </c>
      <c r="K100" s="176">
        <v>118900</v>
      </c>
      <c r="L100" s="177">
        <f>+J100-K100</f>
        <v>184973.12</v>
      </c>
      <c r="M100" s="178"/>
      <c r="Q100" s="179">
        <f t="shared" si="2"/>
        <v>0</v>
      </c>
    </row>
    <row r="101" spans="1:17">
      <c r="A101" s="170" t="s">
        <v>1004</v>
      </c>
      <c r="B101" s="171" t="s">
        <v>865</v>
      </c>
      <c r="C101" s="172" t="s">
        <v>1005</v>
      </c>
      <c r="D101" s="171" t="s">
        <v>38</v>
      </c>
      <c r="E101" s="172" t="s">
        <v>55</v>
      </c>
      <c r="F101" s="173">
        <v>40470</v>
      </c>
      <c r="G101" s="174">
        <v>40511</v>
      </c>
      <c r="H101" s="173">
        <v>40529</v>
      </c>
      <c r="I101" s="176">
        <v>22182.26</v>
      </c>
      <c r="J101" s="175"/>
      <c r="K101" s="176"/>
      <c r="L101" s="177"/>
      <c r="M101" s="178"/>
      <c r="Q101" s="179">
        <f t="shared" si="2"/>
        <v>0</v>
      </c>
    </row>
    <row r="102" spans="1:17">
      <c r="A102" s="170" t="s">
        <v>1006</v>
      </c>
      <c r="B102" s="171" t="s">
        <v>862</v>
      </c>
      <c r="C102" s="172" t="s">
        <v>1005</v>
      </c>
      <c r="D102" s="171" t="s">
        <v>38</v>
      </c>
      <c r="E102" s="172" t="s">
        <v>55</v>
      </c>
      <c r="F102" s="173">
        <v>40470</v>
      </c>
      <c r="G102" s="174">
        <v>40511</v>
      </c>
      <c r="H102" s="173">
        <v>40529</v>
      </c>
      <c r="I102" s="176">
        <v>117553.55</v>
      </c>
      <c r="J102" s="175"/>
      <c r="K102" s="176"/>
      <c r="L102" s="177"/>
      <c r="M102" s="178"/>
      <c r="Q102" s="179">
        <f t="shared" si="2"/>
        <v>0</v>
      </c>
    </row>
    <row r="103" spans="1:17">
      <c r="A103" s="170" t="s">
        <v>1007</v>
      </c>
      <c r="B103" s="171" t="s">
        <v>958</v>
      </c>
      <c r="C103" s="172" t="s">
        <v>1005</v>
      </c>
      <c r="D103" s="171" t="s">
        <v>38</v>
      </c>
      <c r="E103" s="172" t="s">
        <v>55</v>
      </c>
      <c r="F103" s="173">
        <v>40470</v>
      </c>
      <c r="G103" s="174">
        <v>40511</v>
      </c>
      <c r="H103" s="173">
        <v>40529</v>
      </c>
      <c r="I103" s="176">
        <v>5000</v>
      </c>
      <c r="J103" s="175">
        <f>SUM(I101:I103)</f>
        <v>144735.81</v>
      </c>
      <c r="K103" s="176">
        <v>118900</v>
      </c>
      <c r="L103" s="177">
        <f>+J103-K103</f>
        <v>25835.809999999998</v>
      </c>
      <c r="M103" s="178"/>
      <c r="Q103" s="179">
        <f t="shared" si="2"/>
        <v>0</v>
      </c>
    </row>
    <row r="104" spans="1:17">
      <c r="A104" s="170" t="s">
        <v>1008</v>
      </c>
      <c r="B104" s="171" t="s">
        <v>862</v>
      </c>
      <c r="C104" s="172" t="s">
        <v>1009</v>
      </c>
      <c r="D104" s="171" t="s">
        <v>25</v>
      </c>
      <c r="E104" s="172" t="s">
        <v>26</v>
      </c>
      <c r="F104" s="173">
        <v>40354</v>
      </c>
      <c r="G104" s="174">
        <v>40393</v>
      </c>
      <c r="H104" s="173">
        <v>40529</v>
      </c>
      <c r="I104" s="176">
        <v>100000</v>
      </c>
      <c r="J104" s="175"/>
      <c r="K104" s="176"/>
      <c r="L104" s="177"/>
      <c r="M104" s="178"/>
      <c r="Q104" s="179">
        <f t="shared" si="2"/>
        <v>0</v>
      </c>
    </row>
    <row r="105" spans="1:17">
      <c r="A105" s="170" t="s">
        <v>1010</v>
      </c>
      <c r="B105" s="171" t="s">
        <v>865</v>
      </c>
      <c r="C105" s="172" t="s">
        <v>1009</v>
      </c>
      <c r="D105" s="171" t="s">
        <v>25</v>
      </c>
      <c r="E105" s="172" t="s">
        <v>26</v>
      </c>
      <c r="F105" s="173">
        <v>40354</v>
      </c>
      <c r="G105" s="174">
        <v>40393</v>
      </c>
      <c r="H105" s="173">
        <v>40529</v>
      </c>
      <c r="I105" s="176">
        <v>35520.92</v>
      </c>
      <c r="J105" s="175"/>
      <c r="K105" s="176"/>
      <c r="L105" s="177"/>
      <c r="M105" s="178"/>
      <c r="Q105" s="179">
        <f t="shared" si="2"/>
        <v>0</v>
      </c>
    </row>
    <row r="106" spans="1:17">
      <c r="A106" s="170" t="s">
        <v>1011</v>
      </c>
      <c r="B106" s="171" t="s">
        <v>353</v>
      </c>
      <c r="C106" s="172" t="s">
        <v>1009</v>
      </c>
      <c r="D106" s="171" t="s">
        <v>25</v>
      </c>
      <c r="E106" s="172" t="s">
        <v>26</v>
      </c>
      <c r="F106" s="173">
        <v>40354</v>
      </c>
      <c r="G106" s="174">
        <v>40393</v>
      </c>
      <c r="H106" s="173">
        <v>40529</v>
      </c>
      <c r="I106" s="176">
        <v>50000</v>
      </c>
      <c r="J106" s="175"/>
      <c r="K106" s="176"/>
      <c r="L106" s="177"/>
      <c r="M106" s="178"/>
      <c r="Q106" s="179">
        <f t="shared" ref="Q106:Q130" si="3">IF($J106&gt;R$8,$J106-R$8,0)</f>
        <v>0</v>
      </c>
    </row>
    <row r="107" spans="1:17">
      <c r="A107" s="170" t="s">
        <v>1012</v>
      </c>
      <c r="B107" s="171" t="s">
        <v>958</v>
      </c>
      <c r="C107" s="172" t="s">
        <v>1009</v>
      </c>
      <c r="D107" s="171" t="s">
        <v>25</v>
      </c>
      <c r="E107" s="191" t="s">
        <v>26</v>
      </c>
      <c r="F107" s="173">
        <v>40354</v>
      </c>
      <c r="G107" s="174">
        <v>40393</v>
      </c>
      <c r="H107" s="173">
        <v>40529</v>
      </c>
      <c r="I107" s="176">
        <v>8000</v>
      </c>
      <c r="J107" s="175">
        <f>SUM(I104:I107)</f>
        <v>193520.91999999998</v>
      </c>
      <c r="K107" s="176">
        <v>118900</v>
      </c>
      <c r="L107" s="177">
        <f>+J107-K107</f>
        <v>74620.919999999984</v>
      </c>
      <c r="M107" s="178"/>
      <c r="Q107" s="179">
        <f t="shared" si="3"/>
        <v>0</v>
      </c>
    </row>
    <row r="108" spans="1:17">
      <c r="A108" s="170" t="s">
        <v>1013</v>
      </c>
      <c r="B108" s="171" t="s">
        <v>862</v>
      </c>
      <c r="C108" s="172" t="s">
        <v>1014</v>
      </c>
      <c r="D108" s="171" t="s">
        <v>1015</v>
      </c>
      <c r="E108" s="172" t="s">
        <v>55</v>
      </c>
      <c r="F108" s="173">
        <v>40503</v>
      </c>
      <c r="G108" s="174">
        <v>40518</v>
      </c>
      <c r="H108" s="173">
        <v>40527</v>
      </c>
      <c r="I108" s="176">
        <v>200000</v>
      </c>
      <c r="J108" s="175"/>
      <c r="K108" s="176"/>
      <c r="L108" s="177"/>
      <c r="M108" s="178"/>
      <c r="Q108" s="179">
        <f t="shared" si="3"/>
        <v>0</v>
      </c>
    </row>
    <row r="109" spans="1:17">
      <c r="A109" s="170" t="s">
        <v>1016</v>
      </c>
      <c r="B109" s="171" t="s">
        <v>865</v>
      </c>
      <c r="C109" s="172" t="s">
        <v>1014</v>
      </c>
      <c r="D109" s="171" t="s">
        <v>1015</v>
      </c>
      <c r="E109" s="172" t="s">
        <v>55</v>
      </c>
      <c r="F109" s="173">
        <v>40503</v>
      </c>
      <c r="G109" s="174">
        <v>40518</v>
      </c>
      <c r="H109" s="173">
        <v>40527</v>
      </c>
      <c r="I109" s="176">
        <v>41703.550000000003</v>
      </c>
      <c r="J109" s="175">
        <f>+I109+I108</f>
        <v>241703.55</v>
      </c>
      <c r="K109" s="176">
        <v>118900</v>
      </c>
      <c r="L109" s="177">
        <f>+J109-K109</f>
        <v>122803.54999999999</v>
      </c>
      <c r="M109" s="178"/>
      <c r="Q109" s="179">
        <f t="shared" si="3"/>
        <v>0</v>
      </c>
    </row>
    <row r="110" spans="1:17">
      <c r="A110" s="170" t="s">
        <v>1017</v>
      </c>
      <c r="B110" s="171" t="s">
        <v>862</v>
      </c>
      <c r="C110" s="172" t="s">
        <v>1018</v>
      </c>
      <c r="D110" s="171" t="s">
        <v>38</v>
      </c>
      <c r="E110" s="172" t="s">
        <v>55</v>
      </c>
      <c r="F110" s="173">
        <v>40389</v>
      </c>
      <c r="G110" s="174">
        <v>40410</v>
      </c>
      <c r="H110" s="173">
        <v>40428</v>
      </c>
      <c r="I110" s="176">
        <v>156000</v>
      </c>
      <c r="J110" s="175"/>
      <c r="K110" s="176"/>
      <c r="L110" s="177"/>
      <c r="M110" s="178"/>
      <c r="Q110" s="179">
        <f t="shared" si="3"/>
        <v>0</v>
      </c>
    </row>
    <row r="111" spans="1:17">
      <c r="A111" s="170" t="s">
        <v>1019</v>
      </c>
      <c r="B111" s="171" t="s">
        <v>865</v>
      </c>
      <c r="C111" s="172" t="s">
        <v>1018</v>
      </c>
      <c r="D111" s="171" t="s">
        <v>38</v>
      </c>
      <c r="E111" s="172" t="s">
        <v>55</v>
      </c>
      <c r="F111" s="173">
        <v>40389</v>
      </c>
      <c r="G111" s="174">
        <v>40410</v>
      </c>
      <c r="H111" s="173">
        <v>40428</v>
      </c>
      <c r="I111" s="176">
        <v>73000</v>
      </c>
      <c r="J111" s="175">
        <f>+I111+I110</f>
        <v>229000</v>
      </c>
      <c r="K111" s="176">
        <v>118900</v>
      </c>
      <c r="L111" s="177">
        <f>+J111-K111</f>
        <v>110100</v>
      </c>
      <c r="M111" s="178"/>
      <c r="Q111" s="179">
        <f t="shared" si="3"/>
        <v>0</v>
      </c>
    </row>
    <row r="112" spans="1:17">
      <c r="A112" s="170" t="s">
        <v>1020</v>
      </c>
      <c r="B112" s="171" t="s">
        <v>862</v>
      </c>
      <c r="C112" s="172" t="s">
        <v>1021</v>
      </c>
      <c r="D112" s="171" t="s">
        <v>1022</v>
      </c>
      <c r="E112" s="172" t="s">
        <v>55</v>
      </c>
      <c r="F112" s="173">
        <v>40398</v>
      </c>
      <c r="G112" s="174">
        <v>40428</v>
      </c>
      <c r="H112" s="173">
        <v>40437</v>
      </c>
      <c r="I112" s="176">
        <v>200000</v>
      </c>
      <c r="J112" s="175"/>
      <c r="K112" s="176"/>
      <c r="L112" s="177"/>
      <c r="M112" s="178"/>
      <c r="Q112" s="179">
        <f t="shared" si="3"/>
        <v>0</v>
      </c>
    </row>
    <row r="113" spans="1:17">
      <c r="A113" s="170" t="s">
        <v>1023</v>
      </c>
      <c r="B113" s="171" t="s">
        <v>865</v>
      </c>
      <c r="C113" s="172" t="s">
        <v>1021</v>
      </c>
      <c r="D113" s="171" t="s">
        <v>1022</v>
      </c>
      <c r="E113" s="172" t="s">
        <v>55</v>
      </c>
      <c r="F113" s="173">
        <v>40398</v>
      </c>
      <c r="G113" s="174">
        <v>40428</v>
      </c>
      <c r="H113" s="173">
        <v>40437</v>
      </c>
      <c r="I113" s="176">
        <v>103000</v>
      </c>
      <c r="J113" s="175">
        <f>+I113+I112</f>
        <v>303000</v>
      </c>
      <c r="K113" s="176">
        <v>118900</v>
      </c>
      <c r="L113" s="177">
        <f>+J113-K113</f>
        <v>184100</v>
      </c>
      <c r="M113" s="178"/>
      <c r="Q113" s="179">
        <f t="shared" si="3"/>
        <v>0</v>
      </c>
    </row>
    <row r="114" spans="1:17">
      <c r="A114" s="170" t="s">
        <v>1024</v>
      </c>
      <c r="B114" s="171" t="s">
        <v>862</v>
      </c>
      <c r="C114" s="172" t="s">
        <v>1025</v>
      </c>
      <c r="D114" s="171" t="s">
        <v>1015</v>
      </c>
      <c r="E114" s="172" t="s">
        <v>55</v>
      </c>
      <c r="F114" s="173">
        <v>40382</v>
      </c>
      <c r="G114" s="174">
        <v>40396</v>
      </c>
      <c r="H114" s="173">
        <v>40413</v>
      </c>
      <c r="I114" s="176">
        <v>125551.79</v>
      </c>
      <c r="J114" s="175"/>
      <c r="K114" s="176"/>
      <c r="L114" s="177"/>
      <c r="M114" s="178"/>
      <c r="Q114" s="179">
        <f t="shared" si="3"/>
        <v>0</v>
      </c>
    </row>
    <row r="115" spans="1:17">
      <c r="A115" s="170" t="s">
        <v>1026</v>
      </c>
      <c r="B115" s="171" t="s">
        <v>865</v>
      </c>
      <c r="C115" s="172" t="s">
        <v>1025</v>
      </c>
      <c r="D115" s="171" t="s">
        <v>1015</v>
      </c>
      <c r="E115" s="172" t="s">
        <v>55</v>
      </c>
      <c r="F115" s="173">
        <v>40382</v>
      </c>
      <c r="G115" s="174">
        <v>40396</v>
      </c>
      <c r="H115" s="173">
        <v>40413</v>
      </c>
      <c r="I115" s="176">
        <v>153000</v>
      </c>
      <c r="J115" s="175">
        <f>+I115+I114</f>
        <v>278551.78999999998</v>
      </c>
      <c r="K115" s="176">
        <v>118900</v>
      </c>
      <c r="L115" s="177">
        <f>+J115-K115</f>
        <v>159651.78999999998</v>
      </c>
      <c r="M115" s="178"/>
      <c r="Q115" s="179">
        <f t="shared" si="3"/>
        <v>0</v>
      </c>
    </row>
    <row r="116" spans="1:17">
      <c r="A116" s="170" t="s">
        <v>1027</v>
      </c>
      <c r="B116" s="171" t="s">
        <v>862</v>
      </c>
      <c r="C116" s="172" t="s">
        <v>1028</v>
      </c>
      <c r="D116" s="171" t="s">
        <v>1029</v>
      </c>
      <c r="E116" s="172" t="s">
        <v>55</v>
      </c>
      <c r="F116" s="180">
        <v>40209</v>
      </c>
      <c r="G116" s="181">
        <v>40253</v>
      </c>
      <c r="H116" s="180">
        <v>40303</v>
      </c>
      <c r="I116" s="176">
        <v>132265.32</v>
      </c>
      <c r="J116" s="177"/>
      <c r="K116" s="176"/>
      <c r="L116" s="177"/>
      <c r="M116" s="178"/>
      <c r="Q116" s="179">
        <f t="shared" si="3"/>
        <v>0</v>
      </c>
    </row>
    <row r="117" spans="1:17">
      <c r="A117" s="170" t="s">
        <v>1030</v>
      </c>
      <c r="B117" s="171" t="s">
        <v>865</v>
      </c>
      <c r="C117" s="172" t="s">
        <v>1028</v>
      </c>
      <c r="D117" s="171" t="s">
        <v>1029</v>
      </c>
      <c r="E117" s="172" t="s">
        <v>55</v>
      </c>
      <c r="F117" s="173">
        <v>40209</v>
      </c>
      <c r="G117" s="174">
        <v>40253</v>
      </c>
      <c r="H117" s="180">
        <v>40303</v>
      </c>
      <c r="I117" s="176">
        <v>47173.63</v>
      </c>
      <c r="J117" s="175">
        <f>+I117+I116</f>
        <v>179438.95</v>
      </c>
      <c r="K117" s="176">
        <v>118900</v>
      </c>
      <c r="L117" s="177">
        <f>J117-K117</f>
        <v>60538.950000000012</v>
      </c>
      <c r="M117" s="178"/>
      <c r="Q117" s="179">
        <f t="shared" si="3"/>
        <v>0</v>
      </c>
    </row>
    <row r="118" spans="1:17">
      <c r="A118" s="170" t="s">
        <v>1031</v>
      </c>
      <c r="B118" s="171" t="s">
        <v>862</v>
      </c>
      <c r="C118" s="172" t="s">
        <v>1032</v>
      </c>
      <c r="D118" s="171" t="s">
        <v>1033</v>
      </c>
      <c r="E118" s="172" t="s">
        <v>55</v>
      </c>
      <c r="F118" s="173">
        <v>40331</v>
      </c>
      <c r="G118" s="174">
        <v>40361</v>
      </c>
      <c r="H118" s="173">
        <v>40402</v>
      </c>
      <c r="I118" s="176">
        <v>145525</v>
      </c>
      <c r="J118" s="175"/>
      <c r="K118" s="176"/>
      <c r="L118" s="177"/>
      <c r="M118" s="178"/>
      <c r="Q118" s="179">
        <f t="shared" si="3"/>
        <v>0</v>
      </c>
    </row>
    <row r="119" spans="1:17">
      <c r="A119" s="170" t="s">
        <v>1034</v>
      </c>
      <c r="B119" s="171" t="s">
        <v>865</v>
      </c>
      <c r="C119" s="172" t="s">
        <v>1032</v>
      </c>
      <c r="D119" s="171" t="s">
        <v>1033</v>
      </c>
      <c r="E119" s="172" t="s">
        <v>55</v>
      </c>
      <c r="F119" s="173">
        <v>40331</v>
      </c>
      <c r="G119" s="174">
        <v>40361</v>
      </c>
      <c r="H119" s="173">
        <v>40402</v>
      </c>
      <c r="I119" s="176">
        <v>19682.84</v>
      </c>
      <c r="J119" s="175">
        <f>+I119+I118</f>
        <v>165207.84</v>
      </c>
      <c r="K119" s="176">
        <v>118900</v>
      </c>
      <c r="L119" s="177">
        <f>+J119-K119</f>
        <v>46307.839999999997</v>
      </c>
      <c r="M119" s="178"/>
      <c r="Q119" s="179">
        <f t="shared" si="3"/>
        <v>0</v>
      </c>
    </row>
    <row r="120" spans="1:17">
      <c r="A120" s="170" t="s">
        <v>1035</v>
      </c>
      <c r="B120" s="171" t="s">
        <v>862</v>
      </c>
      <c r="C120" s="172" t="s">
        <v>1036</v>
      </c>
      <c r="D120" s="171" t="s">
        <v>1037</v>
      </c>
      <c r="E120" s="172" t="s">
        <v>55</v>
      </c>
      <c r="F120" s="173">
        <v>40265</v>
      </c>
      <c r="G120" s="174">
        <v>40371</v>
      </c>
      <c r="H120" s="173">
        <v>40402</v>
      </c>
      <c r="I120" s="176">
        <v>100000</v>
      </c>
      <c r="J120" s="175"/>
      <c r="K120" s="176"/>
      <c r="L120" s="177"/>
      <c r="M120" s="178"/>
      <c r="Q120" s="179">
        <f t="shared" si="3"/>
        <v>0</v>
      </c>
    </row>
    <row r="121" spans="1:17">
      <c r="A121" s="170" t="s">
        <v>1038</v>
      </c>
      <c r="B121" s="171" t="s">
        <v>865</v>
      </c>
      <c r="C121" s="172" t="s">
        <v>1036</v>
      </c>
      <c r="D121" s="171" t="s">
        <v>1037</v>
      </c>
      <c r="E121" s="172" t="s">
        <v>55</v>
      </c>
      <c r="F121" s="173">
        <v>40265</v>
      </c>
      <c r="G121" s="174">
        <v>40371</v>
      </c>
      <c r="H121" s="173">
        <v>40402</v>
      </c>
      <c r="I121" s="176">
        <v>153000</v>
      </c>
      <c r="J121" s="175">
        <f>SUM(I120:I121)</f>
        <v>253000</v>
      </c>
      <c r="K121" s="176">
        <v>118900</v>
      </c>
      <c r="L121" s="177">
        <f>+J121-K121</f>
        <v>134100</v>
      </c>
      <c r="M121" s="178"/>
      <c r="Q121" s="179">
        <f t="shared" si="3"/>
        <v>0</v>
      </c>
    </row>
    <row r="122" spans="1:17">
      <c r="A122" s="170" t="s">
        <v>1039</v>
      </c>
      <c r="B122" s="171" t="s">
        <v>862</v>
      </c>
      <c r="C122" s="172" t="s">
        <v>1040</v>
      </c>
      <c r="D122" s="171" t="s">
        <v>192</v>
      </c>
      <c r="E122" s="172" t="s">
        <v>55</v>
      </c>
      <c r="F122" s="173">
        <v>40302</v>
      </c>
      <c r="G122" s="174">
        <v>40330</v>
      </c>
      <c r="H122" s="173">
        <v>40367</v>
      </c>
      <c r="I122" s="176">
        <v>35144.239999999998</v>
      </c>
      <c r="J122" s="175"/>
      <c r="K122" s="176"/>
      <c r="L122" s="177"/>
      <c r="M122" s="178"/>
      <c r="Q122" s="179">
        <f t="shared" si="3"/>
        <v>0</v>
      </c>
    </row>
    <row r="123" spans="1:17">
      <c r="A123" s="170" t="s">
        <v>1041</v>
      </c>
      <c r="B123" s="171" t="s">
        <v>865</v>
      </c>
      <c r="C123" s="172" t="s">
        <v>1040</v>
      </c>
      <c r="D123" s="171" t="s">
        <v>192</v>
      </c>
      <c r="E123" s="172" t="s">
        <v>55</v>
      </c>
      <c r="F123" s="173">
        <v>40302</v>
      </c>
      <c r="G123" s="174">
        <v>40330</v>
      </c>
      <c r="H123" s="173">
        <v>40367</v>
      </c>
      <c r="I123" s="176">
        <v>133590.01999999999</v>
      </c>
      <c r="J123" s="175">
        <f>+I123+I122</f>
        <v>168734.25999999998</v>
      </c>
      <c r="K123" s="176">
        <v>118900</v>
      </c>
      <c r="L123" s="177">
        <f>+J123-K123</f>
        <v>49834.25999999998</v>
      </c>
      <c r="M123" s="178"/>
      <c r="Q123" s="179">
        <f t="shared" si="3"/>
        <v>0</v>
      </c>
    </row>
    <row r="124" spans="1:17">
      <c r="A124" s="170" t="s">
        <v>1042</v>
      </c>
      <c r="B124" s="171" t="s">
        <v>865</v>
      </c>
      <c r="C124" s="172" t="s">
        <v>1043</v>
      </c>
      <c r="D124" s="171" t="s">
        <v>339</v>
      </c>
      <c r="E124" s="172" t="s">
        <v>55</v>
      </c>
      <c r="F124" s="173">
        <v>40428</v>
      </c>
      <c r="G124" s="174">
        <v>40473</v>
      </c>
      <c r="H124" s="173">
        <v>40497</v>
      </c>
      <c r="I124" s="176">
        <v>14321.03</v>
      </c>
      <c r="J124" s="175"/>
      <c r="K124" s="176"/>
      <c r="L124" s="177"/>
      <c r="M124" s="178"/>
      <c r="Q124" s="179">
        <f t="shared" si="3"/>
        <v>0</v>
      </c>
    </row>
    <row r="125" spans="1:17">
      <c r="A125" s="170" t="s">
        <v>1044</v>
      </c>
      <c r="B125" s="171" t="s">
        <v>862</v>
      </c>
      <c r="C125" s="172" t="s">
        <v>1043</v>
      </c>
      <c r="D125" s="171" t="s">
        <v>339</v>
      </c>
      <c r="E125" s="172" t="s">
        <v>55</v>
      </c>
      <c r="F125" s="173">
        <v>40428</v>
      </c>
      <c r="G125" s="174">
        <v>40473</v>
      </c>
      <c r="H125" s="173">
        <v>40497</v>
      </c>
      <c r="I125" s="176">
        <v>131057.93</v>
      </c>
      <c r="J125" s="175">
        <f>+I125+I124</f>
        <v>145378.96</v>
      </c>
      <c r="K125" s="176">
        <v>118900</v>
      </c>
      <c r="L125" s="177">
        <f>+J125-K125</f>
        <v>26478.959999999992</v>
      </c>
      <c r="M125" s="178"/>
      <c r="Q125" s="179">
        <f t="shared" si="3"/>
        <v>0</v>
      </c>
    </row>
    <row r="126" spans="1:17">
      <c r="A126" s="170" t="s">
        <v>1045</v>
      </c>
      <c r="B126" s="171" t="s">
        <v>865</v>
      </c>
      <c r="C126" s="172" t="s">
        <v>1046</v>
      </c>
      <c r="D126" s="171" t="s">
        <v>1047</v>
      </c>
      <c r="E126" s="172" t="s">
        <v>55</v>
      </c>
      <c r="F126" s="173">
        <v>40308</v>
      </c>
      <c r="G126" s="174">
        <v>40457</v>
      </c>
      <c r="H126" s="173">
        <v>40534</v>
      </c>
      <c r="I126" s="176">
        <v>36953.440000000002</v>
      </c>
      <c r="J126" s="175"/>
      <c r="K126" s="176"/>
      <c r="L126" s="177"/>
      <c r="M126" s="178"/>
      <c r="Q126" s="179">
        <f t="shared" si="3"/>
        <v>0</v>
      </c>
    </row>
    <row r="127" spans="1:17">
      <c r="A127" s="170" t="s">
        <v>1048</v>
      </c>
      <c r="B127" s="171" t="s">
        <v>862</v>
      </c>
      <c r="C127" s="172" t="s">
        <v>1046</v>
      </c>
      <c r="D127" s="171" t="s">
        <v>1047</v>
      </c>
      <c r="E127" s="172" t="s">
        <v>55</v>
      </c>
      <c r="F127" s="173">
        <v>40308</v>
      </c>
      <c r="G127" s="174">
        <v>40382</v>
      </c>
      <c r="H127" s="173">
        <v>40534</v>
      </c>
      <c r="I127" s="176">
        <v>38000</v>
      </c>
      <c r="J127" s="175"/>
      <c r="K127" s="176"/>
      <c r="L127" s="177"/>
      <c r="M127" s="178"/>
      <c r="Q127" s="179">
        <f t="shared" si="3"/>
        <v>0</v>
      </c>
    </row>
    <row r="128" spans="1:17">
      <c r="A128" s="170" t="s">
        <v>1049</v>
      </c>
      <c r="B128" s="171" t="s">
        <v>865</v>
      </c>
      <c r="C128" s="172" t="s">
        <v>1046</v>
      </c>
      <c r="D128" s="171" t="s">
        <v>1047</v>
      </c>
      <c r="E128" s="172" t="s">
        <v>55</v>
      </c>
      <c r="F128" s="173">
        <v>40308</v>
      </c>
      <c r="G128" s="174">
        <v>40382</v>
      </c>
      <c r="H128" s="173">
        <v>40534</v>
      </c>
      <c r="I128" s="176">
        <v>14930</v>
      </c>
      <c r="J128" s="175"/>
      <c r="K128" s="176"/>
      <c r="L128" s="177"/>
      <c r="M128" s="178"/>
      <c r="Q128" s="179">
        <f t="shared" si="3"/>
        <v>0</v>
      </c>
    </row>
    <row r="129" spans="1:17">
      <c r="A129" s="170" t="s">
        <v>1050</v>
      </c>
      <c r="B129" s="171" t="s">
        <v>862</v>
      </c>
      <c r="C129" s="172" t="s">
        <v>1046</v>
      </c>
      <c r="D129" s="171" t="s">
        <v>1047</v>
      </c>
      <c r="E129" s="172" t="s">
        <v>55</v>
      </c>
      <c r="F129" s="173">
        <v>40308</v>
      </c>
      <c r="G129" s="174">
        <v>40396</v>
      </c>
      <c r="H129" s="173">
        <v>40534</v>
      </c>
      <c r="I129" s="176">
        <v>28803.43</v>
      </c>
      <c r="J129" s="175"/>
      <c r="K129" s="176"/>
      <c r="L129" s="177"/>
      <c r="M129" s="178"/>
      <c r="Q129" s="179">
        <f t="shared" si="3"/>
        <v>0</v>
      </c>
    </row>
    <row r="130" spans="1:17">
      <c r="A130" s="170" t="s">
        <v>1051</v>
      </c>
      <c r="B130" s="171" t="s">
        <v>865</v>
      </c>
      <c r="C130" s="172" t="s">
        <v>1046</v>
      </c>
      <c r="D130" s="171" t="s">
        <v>1047</v>
      </c>
      <c r="E130" s="172" t="s">
        <v>55</v>
      </c>
      <c r="F130" s="173">
        <v>40308</v>
      </c>
      <c r="G130" s="174">
        <v>40396</v>
      </c>
      <c r="H130" s="173">
        <v>40534</v>
      </c>
      <c r="I130" s="176">
        <v>25066.48</v>
      </c>
      <c r="J130" s="175">
        <f>SUM(I126:I130)</f>
        <v>143753.35</v>
      </c>
      <c r="K130" s="176">
        <v>118900</v>
      </c>
      <c r="L130" s="177">
        <f>+J130-K130</f>
        <v>24853.350000000006</v>
      </c>
      <c r="M130" s="178"/>
      <c r="Q130" s="179">
        <f t="shared" si="3"/>
        <v>0</v>
      </c>
    </row>
    <row r="131" spans="1:17" ht="15" thickBot="1">
      <c r="A131" s="192"/>
      <c r="B131" s="193"/>
      <c r="C131" s="194"/>
      <c r="D131" s="193"/>
      <c r="E131" s="194"/>
      <c r="F131" s="193"/>
      <c r="G131" s="194"/>
      <c r="H131" s="193"/>
      <c r="I131" s="195"/>
      <c r="J131" s="193"/>
      <c r="K131" s="194"/>
      <c r="L131" s="193"/>
      <c r="M131" s="196"/>
      <c r="Q131" s="197"/>
    </row>
    <row r="132" spans="1:17" ht="15" thickBot="1">
      <c r="A132" s="198"/>
      <c r="B132" s="198"/>
      <c r="C132" s="198"/>
      <c r="D132" s="198"/>
      <c r="E132" s="198"/>
      <c r="F132" s="198"/>
      <c r="G132" s="198"/>
      <c r="H132" s="198" t="s">
        <v>215</v>
      </c>
      <c r="I132" s="199">
        <f>SUM(I10:I131)</f>
        <v>12638617.269999998</v>
      </c>
      <c r="J132" s="199">
        <f t="shared" ref="J132:L132" si="4">SUM(J10:J131)</f>
        <v>12638617.269999998</v>
      </c>
      <c r="K132" s="199">
        <f t="shared" si="4"/>
        <v>6063900</v>
      </c>
      <c r="L132" s="199">
        <f t="shared" si="4"/>
        <v>6574717.2699999977</v>
      </c>
      <c r="M132" s="199"/>
      <c r="Q132" s="200">
        <f>SUM(Q10:Q131)</f>
        <v>679616.91999999993</v>
      </c>
    </row>
    <row r="134" spans="1:17">
      <c r="I134" s="122"/>
      <c r="K134" s="122"/>
      <c r="L134" s="122"/>
    </row>
    <row r="135" spans="1:17">
      <c r="L135" s="122"/>
    </row>
    <row r="136" spans="1:17">
      <c r="L136" s="122"/>
    </row>
    <row r="137" spans="1:17">
      <c r="H137" s="122"/>
    </row>
    <row r="138" spans="1:17">
      <c r="H138" s="122"/>
    </row>
    <row r="139" spans="1:17">
      <c r="H139" s="122"/>
    </row>
    <row r="140" spans="1:17">
      <c r="H140" s="122"/>
    </row>
    <row r="141" spans="1:17">
      <c r="H141" s="122"/>
    </row>
    <row r="142" spans="1:17">
      <c r="H142" s="122"/>
    </row>
  </sheetData>
  <autoFilter ref="A9:M9" xr:uid="{00000000-0001-0000-0000-000000000000}"/>
  <mergeCells count="8">
    <mergeCell ref="A7:M7"/>
    <mergeCell ref="A8:M8"/>
    <mergeCell ref="A2:B2"/>
    <mergeCell ref="C2:O2"/>
    <mergeCell ref="A3:B3"/>
    <mergeCell ref="A4:B4"/>
    <mergeCell ref="A5:B5"/>
    <mergeCell ref="A6:M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0"/>
  <sheetViews>
    <sheetView showGridLines="0" workbookViewId="0">
      <selection activeCell="A5" sqref="A5:M5"/>
    </sheetView>
  </sheetViews>
  <sheetFormatPr baseColWidth="10" defaultRowHeight="14.4"/>
  <cols>
    <col min="1" max="1" width="19.33203125" style="72" bestFit="1" customWidth="1"/>
    <col min="2" max="2" width="21.6640625" style="72" customWidth="1"/>
    <col min="3" max="3" width="29.6640625" style="72" customWidth="1"/>
    <col min="4" max="4" width="40.44140625" style="72" customWidth="1"/>
    <col min="5" max="7" width="11.5546875" style="72" customWidth="1"/>
    <col min="8" max="8" width="13.5546875" style="72" customWidth="1"/>
    <col min="9" max="11" width="14.88671875" style="72" bestFit="1" customWidth="1"/>
    <col min="12" max="12" width="15.5546875" style="72" bestFit="1" customWidth="1"/>
    <col min="13" max="13" width="15.33203125" style="72" bestFit="1" customWidth="1"/>
    <col min="14" max="14" width="11.5546875" style="72"/>
    <col min="15" max="15" width="20.109375" style="72" bestFit="1" customWidth="1"/>
    <col min="16" max="16" width="12.88671875" style="72" bestFit="1" customWidth="1"/>
    <col min="17" max="16384" width="11.5546875" style="72"/>
  </cols>
  <sheetData>
    <row r="1" spans="1:16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6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16" ht="18.600000000000001" thickBot="1">
      <c r="A3" s="774" t="s">
        <v>1666</v>
      </c>
      <c r="B3" s="775"/>
      <c r="C3" s="492">
        <v>24.623000000000001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6" ht="18.600000000000001" thickBot="1">
      <c r="A4" s="747" t="s">
        <v>1665</v>
      </c>
      <c r="B4" s="776"/>
      <c r="C4" s="783" t="s">
        <v>2242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16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16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16" ht="18.600000000000001" thickBot="1">
      <c r="A7" s="753" t="s">
        <v>2020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16" ht="29.4" thickBot="1">
      <c r="A8" s="526" t="s">
        <v>9</v>
      </c>
      <c r="B8" s="526" t="s">
        <v>10</v>
      </c>
      <c r="C8" s="527" t="s">
        <v>11</v>
      </c>
      <c r="D8" s="527" t="s">
        <v>12</v>
      </c>
      <c r="E8" s="527" t="s">
        <v>13</v>
      </c>
      <c r="F8" s="527" t="s">
        <v>14</v>
      </c>
      <c r="G8" s="527" t="s">
        <v>15</v>
      </c>
      <c r="H8" s="527" t="s">
        <v>16</v>
      </c>
      <c r="I8" s="526" t="s">
        <v>17</v>
      </c>
      <c r="J8" s="527" t="s">
        <v>18</v>
      </c>
      <c r="K8" s="526" t="s">
        <v>19</v>
      </c>
      <c r="L8" s="528" t="s">
        <v>20</v>
      </c>
      <c r="M8" s="526" t="s">
        <v>21</v>
      </c>
      <c r="O8" s="454" t="s">
        <v>1090</v>
      </c>
      <c r="P8" s="455">
        <f>'BURNING COST'!F8</f>
        <v>721704</v>
      </c>
    </row>
    <row r="9" spans="1:16" ht="15" thickBot="1">
      <c r="A9" s="496" t="s">
        <v>2060</v>
      </c>
      <c r="B9" s="347" t="s">
        <v>28</v>
      </c>
      <c r="C9" s="348" t="s">
        <v>2058</v>
      </c>
      <c r="D9" s="347" t="s">
        <v>2057</v>
      </c>
      <c r="E9" s="347" t="s">
        <v>33</v>
      </c>
      <c r="F9" s="349">
        <v>43611</v>
      </c>
      <c r="G9" s="349">
        <v>43641</v>
      </c>
      <c r="H9" s="349">
        <v>43704</v>
      </c>
      <c r="I9" s="511">
        <v>692700</v>
      </c>
      <c r="J9" s="511"/>
      <c r="K9" s="511"/>
      <c r="L9" s="512"/>
      <c r="M9" s="512"/>
      <c r="O9" s="213" t="s">
        <v>1091</v>
      </c>
    </row>
    <row r="10" spans="1:16">
      <c r="A10" s="280" t="s">
        <v>2059</v>
      </c>
      <c r="B10" s="287" t="s">
        <v>23</v>
      </c>
      <c r="C10" s="282" t="s">
        <v>2058</v>
      </c>
      <c r="D10" s="281" t="s">
        <v>2057</v>
      </c>
      <c r="E10" s="281" t="s">
        <v>33</v>
      </c>
      <c r="F10" s="283">
        <v>43611</v>
      </c>
      <c r="G10" s="283">
        <v>43641</v>
      </c>
      <c r="H10" s="283">
        <v>43668</v>
      </c>
      <c r="I10" s="513">
        <v>115000</v>
      </c>
      <c r="J10" s="513">
        <f>+I10+I9</f>
        <v>807700</v>
      </c>
      <c r="K10" s="513">
        <v>721704</v>
      </c>
      <c r="L10" s="514">
        <f>J10-K10</f>
        <v>85996</v>
      </c>
      <c r="M10" s="514"/>
      <c r="O10" s="515">
        <f>IF($J10&gt;P$8,$J10-P$8,0)</f>
        <v>85996</v>
      </c>
    </row>
    <row r="11" spans="1:16">
      <c r="A11" s="280" t="s">
        <v>2391</v>
      </c>
      <c r="B11" s="287" t="s">
        <v>174</v>
      </c>
      <c r="C11" s="282" t="s">
        <v>2393</v>
      </c>
      <c r="D11" s="281" t="s">
        <v>38</v>
      </c>
      <c r="E11" s="281" t="s">
        <v>33</v>
      </c>
      <c r="F11" s="283">
        <v>43822</v>
      </c>
      <c r="G11" s="283">
        <v>44137</v>
      </c>
      <c r="H11" s="283">
        <v>44162</v>
      </c>
      <c r="I11" s="513">
        <v>713833.14</v>
      </c>
      <c r="J11" s="513"/>
      <c r="K11" s="513"/>
      <c r="L11" s="514"/>
      <c r="M11" s="514"/>
      <c r="O11" s="515">
        <f t="shared" ref="O11:O72" si="0">IF($J11&gt;P$8,$J11-P$8,0)</f>
        <v>0</v>
      </c>
    </row>
    <row r="12" spans="1:16">
      <c r="A12" s="280" t="s">
        <v>2392</v>
      </c>
      <c r="B12" s="287" t="s">
        <v>23</v>
      </c>
      <c r="C12" s="282" t="s">
        <v>2393</v>
      </c>
      <c r="D12" s="281" t="s">
        <v>38</v>
      </c>
      <c r="E12" s="281" t="s">
        <v>33</v>
      </c>
      <c r="F12" s="283">
        <v>43822</v>
      </c>
      <c r="G12" s="283">
        <v>44137</v>
      </c>
      <c r="H12" s="283">
        <v>44161</v>
      </c>
      <c r="I12" s="513">
        <v>68214.990000000005</v>
      </c>
      <c r="J12" s="513">
        <f>+I12+I11</f>
        <v>782048.13</v>
      </c>
      <c r="K12" s="513">
        <v>721704</v>
      </c>
      <c r="L12" s="514">
        <f>+J12-K12</f>
        <v>60344.130000000005</v>
      </c>
      <c r="M12" s="514"/>
      <c r="O12" s="515">
        <f t="shared" si="0"/>
        <v>60344.130000000005</v>
      </c>
    </row>
    <row r="13" spans="1:16">
      <c r="A13" s="280" t="s">
        <v>2669</v>
      </c>
      <c r="B13" s="287" t="s">
        <v>174</v>
      </c>
      <c r="C13" s="282" t="s">
        <v>2672</v>
      </c>
      <c r="D13" s="281" t="s">
        <v>2673</v>
      </c>
      <c r="E13" s="281" t="s">
        <v>33</v>
      </c>
      <c r="F13" s="283">
        <v>43621</v>
      </c>
      <c r="G13" s="283">
        <v>43718</v>
      </c>
      <c r="H13" s="283">
        <v>43724</v>
      </c>
      <c r="I13" s="513">
        <v>228458.84</v>
      </c>
      <c r="J13" s="513"/>
      <c r="K13" s="513"/>
      <c r="L13" s="514"/>
      <c r="M13" s="514"/>
      <c r="O13" s="515">
        <f t="shared" si="0"/>
        <v>0</v>
      </c>
    </row>
    <row r="14" spans="1:16">
      <c r="A14" s="280" t="s">
        <v>2670</v>
      </c>
      <c r="B14" s="287" t="s">
        <v>174</v>
      </c>
      <c r="C14" s="282" t="s">
        <v>2672</v>
      </c>
      <c r="D14" s="281" t="s">
        <v>2673</v>
      </c>
      <c r="E14" s="281" t="s">
        <v>33</v>
      </c>
      <c r="F14" s="283">
        <v>43621</v>
      </c>
      <c r="G14" s="283">
        <v>44173</v>
      </c>
      <c r="H14" s="283">
        <v>44188</v>
      </c>
      <c r="I14" s="513">
        <v>421485.81</v>
      </c>
      <c r="J14" s="513"/>
      <c r="K14" s="513"/>
      <c r="L14" s="514"/>
      <c r="M14" s="514"/>
      <c r="O14" s="515">
        <f t="shared" si="0"/>
        <v>0</v>
      </c>
    </row>
    <row r="15" spans="1:16">
      <c r="A15" s="280" t="s">
        <v>2671</v>
      </c>
      <c r="B15" s="287" t="s">
        <v>23</v>
      </c>
      <c r="C15" s="282" t="s">
        <v>2672</v>
      </c>
      <c r="D15" s="281" t="s">
        <v>2673</v>
      </c>
      <c r="E15" s="281" t="s">
        <v>33</v>
      </c>
      <c r="F15" s="283">
        <v>43621</v>
      </c>
      <c r="G15" s="283">
        <v>44173</v>
      </c>
      <c r="H15" s="283">
        <v>44188</v>
      </c>
      <c r="I15" s="513">
        <v>106309.97</v>
      </c>
      <c r="J15" s="513">
        <f>+I15+I14+I13</f>
        <v>756254.62</v>
      </c>
      <c r="K15" s="513">
        <v>721704</v>
      </c>
      <c r="L15" s="514">
        <f>+J15-K15</f>
        <v>34550.619999999995</v>
      </c>
      <c r="M15" s="514"/>
      <c r="O15" s="515">
        <f t="shared" si="0"/>
        <v>34550.619999999995</v>
      </c>
    </row>
    <row r="16" spans="1:16">
      <c r="A16" s="280" t="s">
        <v>2056</v>
      </c>
      <c r="B16" s="287" t="s">
        <v>28</v>
      </c>
      <c r="C16" s="282" t="s">
        <v>2051</v>
      </c>
      <c r="D16" s="281" t="s">
        <v>69</v>
      </c>
      <c r="E16" s="281" t="s">
        <v>33</v>
      </c>
      <c r="F16" s="283">
        <v>43557</v>
      </c>
      <c r="G16" s="283">
        <v>43567</v>
      </c>
      <c r="H16" s="283">
        <v>43595</v>
      </c>
      <c r="I16" s="513">
        <v>216996.28</v>
      </c>
      <c r="J16" s="513"/>
      <c r="K16" s="513"/>
      <c r="L16" s="514"/>
      <c r="M16" s="514"/>
      <c r="O16" s="515">
        <f t="shared" si="0"/>
        <v>0</v>
      </c>
    </row>
    <row r="17" spans="1:15">
      <c r="A17" s="280" t="s">
        <v>2055</v>
      </c>
      <c r="B17" s="287" t="s">
        <v>28</v>
      </c>
      <c r="C17" s="282" t="s">
        <v>2051</v>
      </c>
      <c r="D17" s="281" t="s">
        <v>69</v>
      </c>
      <c r="E17" s="281" t="s">
        <v>33</v>
      </c>
      <c r="F17" s="283">
        <v>43557</v>
      </c>
      <c r="G17" s="283">
        <v>43588</v>
      </c>
      <c r="H17" s="283">
        <v>43609</v>
      </c>
      <c r="I17" s="513">
        <v>340824.64</v>
      </c>
      <c r="J17" s="513"/>
      <c r="K17" s="513"/>
      <c r="L17" s="514"/>
      <c r="M17" s="514"/>
      <c r="O17" s="515">
        <f t="shared" si="0"/>
        <v>0</v>
      </c>
    </row>
    <row r="18" spans="1:15">
      <c r="A18" s="280" t="s">
        <v>2054</v>
      </c>
      <c r="B18" s="287" t="s">
        <v>28</v>
      </c>
      <c r="C18" s="282" t="s">
        <v>2051</v>
      </c>
      <c r="D18" s="281" t="s">
        <v>69</v>
      </c>
      <c r="E18" s="281" t="s">
        <v>33</v>
      </c>
      <c r="F18" s="283">
        <v>43557</v>
      </c>
      <c r="G18" s="283">
        <v>43615</v>
      </c>
      <c r="H18" s="283">
        <v>43609</v>
      </c>
      <c r="I18" s="513">
        <v>132691.97</v>
      </c>
      <c r="J18" s="513"/>
      <c r="K18" s="513"/>
      <c r="L18" s="514"/>
      <c r="M18" s="514"/>
      <c r="O18" s="515">
        <f t="shared" si="0"/>
        <v>0</v>
      </c>
    </row>
    <row r="19" spans="1:15">
      <c r="A19" s="280" t="s">
        <v>2053</v>
      </c>
      <c r="B19" s="287" t="s">
        <v>23</v>
      </c>
      <c r="C19" s="282" t="s">
        <v>2051</v>
      </c>
      <c r="D19" s="281" t="s">
        <v>69</v>
      </c>
      <c r="E19" s="281" t="s">
        <v>33</v>
      </c>
      <c r="F19" s="283">
        <v>43557</v>
      </c>
      <c r="G19" s="283">
        <v>43588</v>
      </c>
      <c r="H19" s="283">
        <v>43609</v>
      </c>
      <c r="I19" s="513">
        <v>37744.76</v>
      </c>
      <c r="J19" s="513"/>
      <c r="K19" s="513"/>
      <c r="L19" s="514"/>
      <c r="M19" s="514"/>
      <c r="O19" s="515">
        <f t="shared" si="0"/>
        <v>0</v>
      </c>
    </row>
    <row r="20" spans="1:15">
      <c r="A20" s="280" t="s">
        <v>2052</v>
      </c>
      <c r="B20" s="287" t="s">
        <v>23</v>
      </c>
      <c r="C20" s="282" t="s">
        <v>2051</v>
      </c>
      <c r="D20" s="281" t="s">
        <v>2050</v>
      </c>
      <c r="E20" s="281" t="s">
        <v>33</v>
      </c>
      <c r="F20" s="283">
        <v>43557</v>
      </c>
      <c r="G20" s="283">
        <v>43665</v>
      </c>
      <c r="H20" s="283">
        <v>43675</v>
      </c>
      <c r="I20" s="513">
        <v>25548.67</v>
      </c>
      <c r="J20" s="513">
        <f>SUM(I16:I20)</f>
        <v>753806.32000000007</v>
      </c>
      <c r="K20" s="513">
        <v>721704</v>
      </c>
      <c r="L20" s="514">
        <f>J20-K20</f>
        <v>32102.320000000065</v>
      </c>
      <c r="M20" s="514"/>
      <c r="O20" s="515">
        <f t="shared" si="0"/>
        <v>32102.320000000065</v>
      </c>
    </row>
    <row r="21" spans="1:15">
      <c r="A21" s="280" t="s">
        <v>2387</v>
      </c>
      <c r="B21" s="287" t="s">
        <v>36</v>
      </c>
      <c r="C21" s="282" t="s">
        <v>2389</v>
      </c>
      <c r="D21" s="281" t="s">
        <v>2390</v>
      </c>
      <c r="E21" s="281" t="s">
        <v>33</v>
      </c>
      <c r="F21" s="283">
        <v>43716</v>
      </c>
      <c r="G21" s="283">
        <v>44005</v>
      </c>
      <c r="H21" s="283">
        <v>44133</v>
      </c>
      <c r="I21" s="513">
        <v>500000</v>
      </c>
      <c r="J21" s="513"/>
      <c r="K21" s="513"/>
      <c r="L21" s="514"/>
      <c r="M21" s="514"/>
      <c r="O21" s="515">
        <f t="shared" si="0"/>
        <v>0</v>
      </c>
    </row>
    <row r="22" spans="1:15">
      <c r="A22" s="280" t="s">
        <v>2388</v>
      </c>
      <c r="B22" s="287" t="s">
        <v>174</v>
      </c>
      <c r="C22" s="282" t="s">
        <v>2389</v>
      </c>
      <c r="D22" s="281" t="s">
        <v>2390</v>
      </c>
      <c r="E22" s="281" t="s">
        <v>33</v>
      </c>
      <c r="F22" s="283">
        <v>43716</v>
      </c>
      <c r="G22" s="283">
        <v>44005</v>
      </c>
      <c r="H22" s="283">
        <v>44133</v>
      </c>
      <c r="I22" s="513">
        <v>500000</v>
      </c>
      <c r="J22" s="513">
        <f>+I22+I21</f>
        <v>1000000</v>
      </c>
      <c r="K22" s="513">
        <v>721704</v>
      </c>
      <c r="L22" s="514">
        <f>+J22-K22</f>
        <v>278296</v>
      </c>
      <c r="M22" s="514"/>
      <c r="O22" s="515">
        <f t="shared" si="0"/>
        <v>278296</v>
      </c>
    </row>
    <row r="23" spans="1:15">
      <c r="A23" s="516" t="s">
        <v>2387</v>
      </c>
      <c r="B23" s="517" t="s">
        <v>36</v>
      </c>
      <c r="C23" s="426" t="s">
        <v>2389</v>
      </c>
      <c r="D23" s="405" t="s">
        <v>84</v>
      </c>
      <c r="E23" s="405" t="s">
        <v>33</v>
      </c>
      <c r="F23" s="518">
        <v>43751</v>
      </c>
      <c r="G23" s="518">
        <v>44078</v>
      </c>
      <c r="H23" s="518">
        <v>44117</v>
      </c>
      <c r="I23" s="513">
        <v>153000</v>
      </c>
      <c r="J23" s="513"/>
      <c r="K23" s="513"/>
      <c r="L23" s="514"/>
      <c r="M23" s="514"/>
      <c r="O23" s="515">
        <f t="shared" si="0"/>
        <v>0</v>
      </c>
    </row>
    <row r="24" spans="1:15">
      <c r="A24" s="516" t="s">
        <v>2388</v>
      </c>
      <c r="B24" s="517" t="s">
        <v>174</v>
      </c>
      <c r="C24" s="426" t="s">
        <v>2389</v>
      </c>
      <c r="D24" s="405" t="s">
        <v>84</v>
      </c>
      <c r="E24" s="405" t="s">
        <v>33</v>
      </c>
      <c r="F24" s="518">
        <v>43751</v>
      </c>
      <c r="G24" s="518">
        <v>44078</v>
      </c>
      <c r="H24" s="518">
        <v>44123</v>
      </c>
      <c r="I24" s="513">
        <v>664283.96</v>
      </c>
      <c r="J24" s="513">
        <f>+I24+I23</f>
        <v>817283.96</v>
      </c>
      <c r="K24" s="513">
        <v>721704</v>
      </c>
      <c r="L24" s="514">
        <f>+J24-K24</f>
        <v>95579.959999999963</v>
      </c>
      <c r="M24" s="514"/>
      <c r="O24" s="515">
        <f t="shared" si="0"/>
        <v>95579.959999999963</v>
      </c>
    </row>
    <row r="25" spans="1:15">
      <c r="A25" s="280" t="s">
        <v>2049</v>
      </c>
      <c r="B25" s="287" t="s">
        <v>958</v>
      </c>
      <c r="C25" s="282" t="s">
        <v>2045</v>
      </c>
      <c r="D25" s="281" t="s">
        <v>2044</v>
      </c>
      <c r="E25" s="281" t="s">
        <v>33</v>
      </c>
      <c r="F25" s="283">
        <v>43564</v>
      </c>
      <c r="G25" s="283">
        <v>43691</v>
      </c>
      <c r="H25" s="283">
        <v>43718</v>
      </c>
      <c r="I25" s="513">
        <v>40000</v>
      </c>
      <c r="J25" s="513"/>
      <c r="K25" s="513"/>
      <c r="L25" s="514"/>
      <c r="M25" s="514"/>
      <c r="O25" s="515">
        <f t="shared" si="0"/>
        <v>0</v>
      </c>
    </row>
    <row r="26" spans="1:15">
      <c r="A26" s="280" t="s">
        <v>2048</v>
      </c>
      <c r="B26" s="287" t="s">
        <v>93</v>
      </c>
      <c r="C26" s="282" t="s">
        <v>2045</v>
      </c>
      <c r="D26" s="281" t="s">
        <v>2044</v>
      </c>
      <c r="E26" s="281" t="s">
        <v>33</v>
      </c>
      <c r="F26" s="283">
        <v>43564</v>
      </c>
      <c r="G26" s="283">
        <v>43691</v>
      </c>
      <c r="H26" s="283">
        <v>43718</v>
      </c>
      <c r="I26" s="513">
        <v>755000</v>
      </c>
      <c r="J26" s="513"/>
      <c r="K26" s="513"/>
      <c r="L26" s="514"/>
      <c r="M26" s="514"/>
      <c r="O26" s="515">
        <f t="shared" si="0"/>
        <v>0</v>
      </c>
    </row>
    <row r="27" spans="1:15">
      <c r="A27" s="280" t="s">
        <v>2047</v>
      </c>
      <c r="B27" s="287" t="s">
        <v>28</v>
      </c>
      <c r="C27" s="282" t="s">
        <v>2045</v>
      </c>
      <c r="D27" s="281" t="s">
        <v>2044</v>
      </c>
      <c r="E27" s="281" t="s">
        <v>33</v>
      </c>
      <c r="F27" s="283">
        <v>43564</v>
      </c>
      <c r="G27" s="283">
        <v>43691</v>
      </c>
      <c r="H27" s="283">
        <v>43718</v>
      </c>
      <c r="I27" s="513">
        <v>1184.51</v>
      </c>
      <c r="J27" s="513"/>
      <c r="K27" s="513"/>
      <c r="L27" s="514"/>
      <c r="M27" s="514"/>
      <c r="O27" s="515">
        <f t="shared" si="0"/>
        <v>0</v>
      </c>
    </row>
    <row r="28" spans="1:15">
      <c r="A28" s="280" t="s">
        <v>2046</v>
      </c>
      <c r="B28" s="287" t="s">
        <v>23</v>
      </c>
      <c r="C28" s="282" t="s">
        <v>2045</v>
      </c>
      <c r="D28" s="281" t="s">
        <v>2044</v>
      </c>
      <c r="E28" s="281" t="s">
        <v>33</v>
      </c>
      <c r="F28" s="283">
        <v>43564</v>
      </c>
      <c r="G28" s="283">
        <v>43692</v>
      </c>
      <c r="H28" s="283">
        <v>43718</v>
      </c>
      <c r="I28" s="513">
        <v>13350.84</v>
      </c>
      <c r="J28" s="513">
        <f>SUM(I25:I28)</f>
        <v>809535.35</v>
      </c>
      <c r="K28" s="513">
        <v>721704</v>
      </c>
      <c r="L28" s="514">
        <f>J28-K28</f>
        <v>87831.349999999977</v>
      </c>
      <c r="M28" s="514"/>
      <c r="O28" s="515">
        <f t="shared" si="0"/>
        <v>87831.349999999977</v>
      </c>
    </row>
    <row r="29" spans="1:15">
      <c r="A29" s="280" t="s">
        <v>2267</v>
      </c>
      <c r="B29" s="287" t="s">
        <v>174</v>
      </c>
      <c r="C29" s="282" t="s">
        <v>2268</v>
      </c>
      <c r="D29" s="281" t="s">
        <v>38</v>
      </c>
      <c r="E29" s="281" t="s">
        <v>33</v>
      </c>
      <c r="F29" s="283">
        <v>43790</v>
      </c>
      <c r="G29" s="283">
        <v>43851</v>
      </c>
      <c r="H29" s="283">
        <v>43859</v>
      </c>
      <c r="I29" s="513">
        <v>850000</v>
      </c>
      <c r="J29" s="513">
        <f>SUM(I29)</f>
        <v>850000</v>
      </c>
      <c r="K29" s="513">
        <v>721704</v>
      </c>
      <c r="L29" s="514">
        <f>J29-K29</f>
        <v>128296</v>
      </c>
      <c r="M29" s="514"/>
      <c r="O29" s="515">
        <f t="shared" si="0"/>
        <v>128296</v>
      </c>
    </row>
    <row r="30" spans="1:15">
      <c r="A30" s="516" t="s">
        <v>2243</v>
      </c>
      <c r="B30" s="287" t="s">
        <v>1917</v>
      </c>
      <c r="C30" s="426" t="s">
        <v>2244</v>
      </c>
      <c r="D30" s="405" t="s">
        <v>2245</v>
      </c>
      <c r="E30" s="405" t="s">
        <v>33</v>
      </c>
      <c r="F30" s="518">
        <v>43755</v>
      </c>
      <c r="G30" s="518">
        <v>43791</v>
      </c>
      <c r="H30" s="518">
        <v>43826</v>
      </c>
      <c r="I30" s="513">
        <v>50000</v>
      </c>
      <c r="J30" s="513"/>
      <c r="K30" s="513"/>
      <c r="L30" s="514"/>
      <c r="M30" s="514"/>
      <c r="O30" s="515">
        <f t="shared" si="0"/>
        <v>0</v>
      </c>
    </row>
    <row r="31" spans="1:15">
      <c r="A31" s="516" t="s">
        <v>2246</v>
      </c>
      <c r="B31" s="287" t="s">
        <v>30</v>
      </c>
      <c r="C31" s="426" t="s">
        <v>2244</v>
      </c>
      <c r="D31" s="405" t="s">
        <v>2245</v>
      </c>
      <c r="E31" s="405" t="s">
        <v>33</v>
      </c>
      <c r="F31" s="518">
        <v>43755</v>
      </c>
      <c r="G31" s="518">
        <v>43791</v>
      </c>
      <c r="H31" s="518">
        <v>43826</v>
      </c>
      <c r="I31" s="513">
        <v>23535.31</v>
      </c>
      <c r="J31" s="513"/>
      <c r="K31" s="513"/>
      <c r="L31" s="514"/>
      <c r="M31" s="514"/>
      <c r="O31" s="515">
        <f t="shared" si="0"/>
        <v>0</v>
      </c>
    </row>
    <row r="32" spans="1:15">
      <c r="A32" s="516" t="s">
        <v>2247</v>
      </c>
      <c r="B32" s="287" t="s">
        <v>28</v>
      </c>
      <c r="C32" s="426" t="s">
        <v>2244</v>
      </c>
      <c r="D32" s="405" t="s">
        <v>2245</v>
      </c>
      <c r="E32" s="405" t="s">
        <v>33</v>
      </c>
      <c r="F32" s="518">
        <v>43755</v>
      </c>
      <c r="G32" s="518">
        <v>43791</v>
      </c>
      <c r="H32" s="518">
        <v>43826</v>
      </c>
      <c r="I32" s="513">
        <v>933520.11</v>
      </c>
      <c r="J32" s="513"/>
      <c r="K32" s="513"/>
      <c r="L32" s="514"/>
      <c r="M32" s="514"/>
      <c r="O32" s="515">
        <f t="shared" si="0"/>
        <v>0</v>
      </c>
    </row>
    <row r="33" spans="1:15">
      <c r="A33" s="516" t="s">
        <v>2269</v>
      </c>
      <c r="B33" s="287" t="s">
        <v>174</v>
      </c>
      <c r="C33" s="426" t="s">
        <v>2244</v>
      </c>
      <c r="D33" s="405" t="s">
        <v>2245</v>
      </c>
      <c r="E33" s="405" t="s">
        <v>33</v>
      </c>
      <c r="F33" s="518">
        <v>43755</v>
      </c>
      <c r="G33" s="518">
        <v>43840</v>
      </c>
      <c r="H33" s="518">
        <v>43858</v>
      </c>
      <c r="I33" s="513">
        <v>203499.75</v>
      </c>
      <c r="J33" s="513">
        <f>+I32+I31+I30+I33</f>
        <v>1210555.17</v>
      </c>
      <c r="K33" s="513">
        <v>721704</v>
      </c>
      <c r="L33" s="514">
        <f>+J33-K33</f>
        <v>488851.16999999993</v>
      </c>
      <c r="M33" s="514"/>
      <c r="O33" s="515">
        <f t="shared" si="0"/>
        <v>488851.16999999993</v>
      </c>
    </row>
    <row r="34" spans="1:15">
      <c r="A34" s="516" t="s">
        <v>2043</v>
      </c>
      <c r="B34" s="287" t="s">
        <v>28</v>
      </c>
      <c r="C34" s="426" t="s">
        <v>2040</v>
      </c>
      <c r="D34" s="405" t="s">
        <v>59</v>
      </c>
      <c r="E34" s="405" t="s">
        <v>33</v>
      </c>
      <c r="F34" s="518">
        <v>43473</v>
      </c>
      <c r="G34" s="518">
        <v>43486</v>
      </c>
      <c r="H34" s="518">
        <v>43507</v>
      </c>
      <c r="I34" s="513">
        <v>734698.93</v>
      </c>
      <c r="J34" s="513"/>
      <c r="K34" s="513"/>
      <c r="L34" s="514"/>
      <c r="M34" s="514"/>
      <c r="O34" s="515">
        <f t="shared" si="0"/>
        <v>0</v>
      </c>
    </row>
    <row r="35" spans="1:15">
      <c r="A35" s="516" t="s">
        <v>2042</v>
      </c>
      <c r="B35" s="287" t="s">
        <v>23</v>
      </c>
      <c r="C35" s="426" t="s">
        <v>2040</v>
      </c>
      <c r="D35" s="405" t="s">
        <v>59</v>
      </c>
      <c r="E35" s="405" t="s">
        <v>33</v>
      </c>
      <c r="F35" s="518">
        <v>43473</v>
      </c>
      <c r="G35" s="518">
        <v>43486</v>
      </c>
      <c r="H35" s="518">
        <v>43507</v>
      </c>
      <c r="I35" s="513">
        <v>55000</v>
      </c>
      <c r="J35" s="513"/>
      <c r="K35" s="513"/>
      <c r="L35" s="514"/>
      <c r="M35" s="514"/>
      <c r="O35" s="515">
        <f t="shared" si="0"/>
        <v>0</v>
      </c>
    </row>
    <row r="36" spans="1:15">
      <c r="A36" s="516" t="s">
        <v>2041</v>
      </c>
      <c r="B36" s="287" t="s">
        <v>1985</v>
      </c>
      <c r="C36" s="426" t="s">
        <v>2040</v>
      </c>
      <c r="D36" s="405" t="s">
        <v>2220</v>
      </c>
      <c r="E36" s="405" t="s">
        <v>33</v>
      </c>
      <c r="F36" s="518">
        <v>43473</v>
      </c>
      <c r="G36" s="518">
        <v>43537</v>
      </c>
      <c r="H36" s="518">
        <v>43542</v>
      </c>
      <c r="I36" s="513">
        <v>550000</v>
      </c>
      <c r="J36" s="513">
        <f>SUM(I34:I36)</f>
        <v>1339698.9300000002</v>
      </c>
      <c r="K36" s="513">
        <v>721704</v>
      </c>
      <c r="L36" s="514">
        <f>J36-K36</f>
        <v>617994.93000000017</v>
      </c>
      <c r="M36" s="514"/>
      <c r="O36" s="515">
        <f t="shared" si="0"/>
        <v>617994.93000000017</v>
      </c>
    </row>
    <row r="37" spans="1:15">
      <c r="A37" s="516" t="s">
        <v>2039</v>
      </c>
      <c r="B37" s="287" t="s">
        <v>28</v>
      </c>
      <c r="C37" s="426" t="s">
        <v>2037</v>
      </c>
      <c r="D37" s="405" t="s">
        <v>517</v>
      </c>
      <c r="E37" s="405" t="s">
        <v>33</v>
      </c>
      <c r="F37" s="518">
        <v>43594</v>
      </c>
      <c r="G37" s="518">
        <v>43634</v>
      </c>
      <c r="H37" s="518">
        <v>43668</v>
      </c>
      <c r="I37" s="513">
        <v>1019000</v>
      </c>
      <c r="J37" s="513"/>
      <c r="K37" s="513"/>
      <c r="L37" s="514"/>
      <c r="M37" s="514"/>
      <c r="O37" s="515">
        <f t="shared" si="0"/>
        <v>0</v>
      </c>
    </row>
    <row r="38" spans="1:15">
      <c r="A38" s="516" t="s">
        <v>2038</v>
      </c>
      <c r="B38" s="287" t="s">
        <v>23</v>
      </c>
      <c r="C38" s="426" t="s">
        <v>2037</v>
      </c>
      <c r="D38" s="405" t="s">
        <v>517</v>
      </c>
      <c r="E38" s="405" t="s">
        <v>33</v>
      </c>
      <c r="F38" s="518">
        <v>43594</v>
      </c>
      <c r="G38" s="518">
        <v>43634</v>
      </c>
      <c r="H38" s="518">
        <v>43668</v>
      </c>
      <c r="I38" s="513">
        <v>115000</v>
      </c>
      <c r="J38" s="513"/>
      <c r="K38" s="513"/>
      <c r="L38" s="514"/>
      <c r="M38" s="514"/>
      <c r="O38" s="515">
        <f t="shared" si="0"/>
        <v>0</v>
      </c>
    </row>
    <row r="39" spans="1:15">
      <c r="A39" s="516" t="s">
        <v>2039</v>
      </c>
      <c r="B39" s="287" t="s">
        <v>28</v>
      </c>
      <c r="C39" s="426" t="s">
        <v>2037</v>
      </c>
      <c r="D39" s="405" t="s">
        <v>33</v>
      </c>
      <c r="E39" s="405" t="s">
        <v>33</v>
      </c>
      <c r="F39" s="518">
        <v>43594</v>
      </c>
      <c r="G39" s="518">
        <v>43634</v>
      </c>
      <c r="H39" s="518">
        <v>43724</v>
      </c>
      <c r="I39" s="513">
        <v>129900</v>
      </c>
      <c r="J39" s="513"/>
      <c r="K39" s="513"/>
      <c r="L39" s="514"/>
      <c r="M39" s="514"/>
      <c r="O39" s="515">
        <f t="shared" si="0"/>
        <v>0</v>
      </c>
    </row>
    <row r="40" spans="1:15">
      <c r="A40" s="426" t="s">
        <v>2039</v>
      </c>
      <c r="B40" s="287" t="s">
        <v>28</v>
      </c>
      <c r="C40" s="426" t="s">
        <v>2037</v>
      </c>
      <c r="D40" s="405" t="s">
        <v>517</v>
      </c>
      <c r="E40" s="405" t="s">
        <v>33</v>
      </c>
      <c r="F40" s="519">
        <v>43594</v>
      </c>
      <c r="G40" s="519">
        <v>43634</v>
      </c>
      <c r="H40" s="519">
        <v>43724</v>
      </c>
      <c r="I40" s="513">
        <v>6000</v>
      </c>
      <c r="J40" s="513">
        <f>SUM(I37:I40)</f>
        <v>1269900</v>
      </c>
      <c r="K40" s="513">
        <v>721704</v>
      </c>
      <c r="L40" s="514">
        <f>J40-K40</f>
        <v>548196</v>
      </c>
      <c r="M40" s="514"/>
      <c r="O40" s="515">
        <f t="shared" si="0"/>
        <v>548196</v>
      </c>
    </row>
    <row r="41" spans="1:15">
      <c r="A41" s="516" t="s">
        <v>2036</v>
      </c>
      <c r="B41" s="287" t="s">
        <v>93</v>
      </c>
      <c r="C41" s="426" t="s">
        <v>2033</v>
      </c>
      <c r="D41" s="405" t="s">
        <v>230</v>
      </c>
      <c r="E41" s="405" t="s">
        <v>26</v>
      </c>
      <c r="F41" s="518">
        <v>43703</v>
      </c>
      <c r="G41" s="518">
        <v>43717</v>
      </c>
      <c r="H41" s="518">
        <v>43734</v>
      </c>
      <c r="I41" s="513">
        <v>1010000</v>
      </c>
      <c r="J41" s="513"/>
      <c r="K41" s="513"/>
      <c r="L41" s="514"/>
      <c r="M41" s="514"/>
      <c r="O41" s="515">
        <f t="shared" si="0"/>
        <v>0</v>
      </c>
    </row>
    <row r="42" spans="1:15">
      <c r="A42" s="516" t="s">
        <v>2035</v>
      </c>
      <c r="B42" s="287" t="s">
        <v>28</v>
      </c>
      <c r="C42" s="426" t="s">
        <v>2033</v>
      </c>
      <c r="D42" s="405" t="s">
        <v>230</v>
      </c>
      <c r="E42" s="405" t="s">
        <v>26</v>
      </c>
      <c r="F42" s="518">
        <v>43703</v>
      </c>
      <c r="G42" s="518">
        <v>43717</v>
      </c>
      <c r="H42" s="518">
        <v>43734</v>
      </c>
      <c r="I42" s="513">
        <v>100000</v>
      </c>
      <c r="J42" s="513"/>
      <c r="K42" s="513"/>
      <c r="L42" s="514"/>
      <c r="M42" s="514"/>
      <c r="O42" s="515">
        <f t="shared" si="0"/>
        <v>0</v>
      </c>
    </row>
    <row r="43" spans="1:15">
      <c r="A43" s="516" t="s">
        <v>2034</v>
      </c>
      <c r="B43" s="287" t="s">
        <v>23</v>
      </c>
      <c r="C43" s="426" t="s">
        <v>2033</v>
      </c>
      <c r="D43" s="405" t="s">
        <v>230</v>
      </c>
      <c r="E43" s="405" t="s">
        <v>26</v>
      </c>
      <c r="F43" s="518">
        <v>43703</v>
      </c>
      <c r="G43" s="518">
        <v>43717</v>
      </c>
      <c r="H43" s="518">
        <v>43734</v>
      </c>
      <c r="I43" s="513">
        <v>210000</v>
      </c>
      <c r="J43" s="513">
        <f>SUM(I41:I43)</f>
        <v>1320000</v>
      </c>
      <c r="K43" s="513">
        <v>721704</v>
      </c>
      <c r="L43" s="514">
        <f>J43-K43</f>
        <v>598296</v>
      </c>
      <c r="M43" s="514"/>
      <c r="O43" s="515">
        <f t="shared" si="0"/>
        <v>598296</v>
      </c>
    </row>
    <row r="44" spans="1:15">
      <c r="A44" s="516" t="s">
        <v>2674</v>
      </c>
      <c r="B44" s="287" t="s">
        <v>30</v>
      </c>
      <c r="C44" s="426" t="s">
        <v>2676</v>
      </c>
      <c r="D44" s="405" t="s">
        <v>84</v>
      </c>
      <c r="E44" s="405" t="s">
        <v>33</v>
      </c>
      <c r="F44" s="518">
        <v>43751</v>
      </c>
      <c r="G44" s="518">
        <v>44078</v>
      </c>
      <c r="H44" s="518">
        <v>44117</v>
      </c>
      <c r="I44" s="513">
        <v>153000</v>
      </c>
      <c r="J44" s="513"/>
      <c r="K44" s="513"/>
      <c r="L44" s="514"/>
      <c r="M44" s="514"/>
      <c r="O44" s="515">
        <f t="shared" si="0"/>
        <v>0</v>
      </c>
    </row>
    <row r="45" spans="1:15">
      <c r="A45" s="516" t="s">
        <v>2675</v>
      </c>
      <c r="B45" s="287" t="s">
        <v>174</v>
      </c>
      <c r="C45" s="426" t="s">
        <v>2676</v>
      </c>
      <c r="D45" s="405" t="s">
        <v>84</v>
      </c>
      <c r="E45" s="405" t="s">
        <v>33</v>
      </c>
      <c r="F45" s="518">
        <v>43751</v>
      </c>
      <c r="G45" s="518">
        <v>44078</v>
      </c>
      <c r="H45" s="518">
        <v>44123</v>
      </c>
      <c r="I45" s="513">
        <v>664283.96</v>
      </c>
      <c r="J45" s="513">
        <f>+I45+I44</f>
        <v>817283.96</v>
      </c>
      <c r="K45" s="513">
        <v>721704</v>
      </c>
      <c r="L45" s="514">
        <f>+J45-K45</f>
        <v>95579.959999999963</v>
      </c>
      <c r="M45" s="514"/>
      <c r="O45" s="515">
        <f t="shared" si="0"/>
        <v>95579.959999999963</v>
      </c>
    </row>
    <row r="46" spans="1:15">
      <c r="A46" s="516" t="s">
        <v>2248</v>
      </c>
      <c r="B46" s="287" t="s">
        <v>28</v>
      </c>
      <c r="C46" s="426" t="s">
        <v>2249</v>
      </c>
      <c r="D46" s="405" t="s">
        <v>38</v>
      </c>
      <c r="E46" s="405" t="s">
        <v>33</v>
      </c>
      <c r="F46" s="518">
        <v>43676</v>
      </c>
      <c r="G46" s="518">
        <v>43784</v>
      </c>
      <c r="H46" s="518">
        <v>43796</v>
      </c>
      <c r="I46" s="513">
        <v>1387416.98</v>
      </c>
      <c r="J46" s="513"/>
      <c r="K46" s="513"/>
      <c r="L46" s="514"/>
      <c r="M46" s="514"/>
      <c r="O46" s="515">
        <f t="shared" si="0"/>
        <v>0</v>
      </c>
    </row>
    <row r="47" spans="1:15">
      <c r="A47" s="516" t="s">
        <v>2250</v>
      </c>
      <c r="B47" s="287" t="s">
        <v>23</v>
      </c>
      <c r="C47" s="426" t="s">
        <v>2249</v>
      </c>
      <c r="D47" s="405" t="s">
        <v>38</v>
      </c>
      <c r="E47" s="405" t="s">
        <v>33</v>
      </c>
      <c r="F47" s="518">
        <v>43676</v>
      </c>
      <c r="G47" s="518">
        <v>43784</v>
      </c>
      <c r="H47" s="518">
        <v>43796</v>
      </c>
      <c r="I47" s="513">
        <v>88912.88</v>
      </c>
      <c r="J47" s="513">
        <f>+I47+I46</f>
        <v>1476329.8599999999</v>
      </c>
      <c r="K47" s="513">
        <v>721704</v>
      </c>
      <c r="L47" s="514">
        <f>J47-K47</f>
        <v>754625.85999999987</v>
      </c>
      <c r="M47" s="514"/>
      <c r="O47" s="515">
        <f t="shared" si="0"/>
        <v>754625.85999999987</v>
      </c>
    </row>
    <row r="48" spans="1:15">
      <c r="A48" s="426" t="s">
        <v>2032</v>
      </c>
      <c r="B48" s="287" t="s">
        <v>28</v>
      </c>
      <c r="C48" s="426" t="s">
        <v>2030</v>
      </c>
      <c r="D48" s="405" t="s">
        <v>2029</v>
      </c>
      <c r="E48" s="405" t="s">
        <v>33</v>
      </c>
      <c r="F48" s="519">
        <v>43485</v>
      </c>
      <c r="G48" s="519">
        <v>43539</v>
      </c>
      <c r="H48" s="519">
        <v>43567</v>
      </c>
      <c r="I48" s="513">
        <v>1068753.26</v>
      </c>
      <c r="J48" s="513"/>
      <c r="K48" s="513"/>
      <c r="L48" s="514"/>
      <c r="M48" s="514"/>
      <c r="O48" s="515">
        <f t="shared" si="0"/>
        <v>0</v>
      </c>
    </row>
    <row r="49" spans="1:15">
      <c r="A49" s="426" t="s">
        <v>2031</v>
      </c>
      <c r="B49" s="287" t="s">
        <v>30</v>
      </c>
      <c r="C49" s="426" t="s">
        <v>2030</v>
      </c>
      <c r="D49" s="405" t="s">
        <v>2029</v>
      </c>
      <c r="E49" s="405" t="s">
        <v>33</v>
      </c>
      <c r="F49" s="519">
        <v>43485</v>
      </c>
      <c r="G49" s="519">
        <v>43539</v>
      </c>
      <c r="H49" s="519">
        <v>43544</v>
      </c>
      <c r="I49" s="513">
        <v>65000</v>
      </c>
      <c r="J49" s="513"/>
      <c r="K49" s="513"/>
      <c r="L49" s="514"/>
      <c r="M49" s="514"/>
      <c r="O49" s="515">
        <f t="shared" si="0"/>
        <v>0</v>
      </c>
    </row>
    <row r="50" spans="1:15">
      <c r="A50" s="516" t="s">
        <v>2032</v>
      </c>
      <c r="B50" s="287" t="s">
        <v>28</v>
      </c>
      <c r="C50" s="426" t="s">
        <v>2030</v>
      </c>
      <c r="D50" s="405" t="s">
        <v>2029</v>
      </c>
      <c r="E50" s="405" t="s">
        <v>33</v>
      </c>
      <c r="F50" s="518">
        <v>43485</v>
      </c>
      <c r="G50" s="518">
        <v>43539</v>
      </c>
      <c r="H50" s="518">
        <v>43567</v>
      </c>
      <c r="I50" s="513">
        <v>6000</v>
      </c>
      <c r="J50" s="513">
        <f>SUM(I48:I50)</f>
        <v>1139753.26</v>
      </c>
      <c r="K50" s="513">
        <v>721704</v>
      </c>
      <c r="L50" s="514">
        <f>J50-K50</f>
        <v>418049.26</v>
      </c>
      <c r="M50" s="514"/>
      <c r="O50" s="515">
        <f t="shared" si="0"/>
        <v>418049.26</v>
      </c>
    </row>
    <row r="51" spans="1:15">
      <c r="A51" s="280" t="s">
        <v>2337</v>
      </c>
      <c r="B51" s="281" t="s">
        <v>1917</v>
      </c>
      <c r="C51" s="282" t="s">
        <v>2340</v>
      </c>
      <c r="D51" s="281" t="s">
        <v>2341</v>
      </c>
      <c r="E51" s="281" t="s">
        <v>33</v>
      </c>
      <c r="F51" s="283">
        <v>43823</v>
      </c>
      <c r="G51" s="283">
        <v>43858</v>
      </c>
      <c r="H51" s="283">
        <v>43896</v>
      </c>
      <c r="I51" s="513">
        <v>15000</v>
      </c>
      <c r="J51" s="513"/>
      <c r="K51" s="513"/>
      <c r="L51" s="514"/>
      <c r="M51" s="514"/>
      <c r="O51" s="515">
        <f t="shared" si="0"/>
        <v>0</v>
      </c>
    </row>
    <row r="52" spans="1:15">
      <c r="A52" s="280" t="s">
        <v>2338</v>
      </c>
      <c r="B52" s="281" t="s">
        <v>174</v>
      </c>
      <c r="C52" s="282" t="s">
        <v>2340</v>
      </c>
      <c r="D52" s="281" t="s">
        <v>2341</v>
      </c>
      <c r="E52" s="281" t="s">
        <v>33</v>
      </c>
      <c r="F52" s="283">
        <v>43823</v>
      </c>
      <c r="G52" s="283">
        <v>43857</v>
      </c>
      <c r="H52" s="283">
        <v>44102</v>
      </c>
      <c r="I52" s="513">
        <v>1288000</v>
      </c>
      <c r="J52" s="513"/>
      <c r="K52" s="513"/>
      <c r="L52" s="514"/>
      <c r="M52" s="514"/>
      <c r="O52" s="515">
        <f t="shared" si="0"/>
        <v>0</v>
      </c>
    </row>
    <row r="53" spans="1:15">
      <c r="A53" s="280" t="s">
        <v>2339</v>
      </c>
      <c r="B53" s="281" t="s">
        <v>23</v>
      </c>
      <c r="C53" s="282" t="s">
        <v>2340</v>
      </c>
      <c r="D53" s="281" t="s">
        <v>2341</v>
      </c>
      <c r="E53" s="281" t="s">
        <v>33</v>
      </c>
      <c r="F53" s="283">
        <v>43823</v>
      </c>
      <c r="G53" s="283">
        <v>43858</v>
      </c>
      <c r="H53" s="283">
        <v>43896</v>
      </c>
      <c r="I53" s="513">
        <v>177427.31</v>
      </c>
      <c r="J53" s="513">
        <f>SUM(I51:I53)</f>
        <v>1480427.31</v>
      </c>
      <c r="K53" s="513">
        <v>721704</v>
      </c>
      <c r="L53" s="514">
        <f>+J53-K53</f>
        <v>758723.31</v>
      </c>
      <c r="M53" s="514"/>
      <c r="O53" s="515">
        <f t="shared" si="0"/>
        <v>758723.31</v>
      </c>
    </row>
    <row r="54" spans="1:15">
      <c r="A54" s="516" t="s">
        <v>2251</v>
      </c>
      <c r="B54" s="287" t="s">
        <v>28</v>
      </c>
      <c r="C54" s="426" t="s">
        <v>2252</v>
      </c>
      <c r="D54" s="405" t="s">
        <v>2253</v>
      </c>
      <c r="E54" s="405" t="s">
        <v>33</v>
      </c>
      <c r="F54" s="518">
        <v>43544</v>
      </c>
      <c r="G54" s="518">
        <v>43774</v>
      </c>
      <c r="H54" s="518">
        <v>43789</v>
      </c>
      <c r="I54" s="513">
        <f>574214.45+36023.93</f>
        <v>610238.38</v>
      </c>
      <c r="J54" s="513"/>
      <c r="K54" s="513"/>
      <c r="L54" s="514"/>
      <c r="M54" s="514"/>
      <c r="O54" s="515">
        <f t="shared" si="0"/>
        <v>0</v>
      </c>
    </row>
    <row r="55" spans="1:15">
      <c r="A55" s="516" t="s">
        <v>2254</v>
      </c>
      <c r="B55" s="287" t="s">
        <v>23</v>
      </c>
      <c r="C55" s="426" t="s">
        <v>2252</v>
      </c>
      <c r="D55" s="405" t="s">
        <v>2253</v>
      </c>
      <c r="E55" s="405" t="s">
        <v>33</v>
      </c>
      <c r="F55" s="518">
        <v>43544</v>
      </c>
      <c r="G55" s="518">
        <v>43774</v>
      </c>
      <c r="H55" s="518">
        <v>43789</v>
      </c>
      <c r="I55" s="513">
        <v>148774.19</v>
      </c>
      <c r="J55" s="513">
        <f>+I55+I54</f>
        <v>759012.57000000007</v>
      </c>
      <c r="K55" s="513">
        <v>721704</v>
      </c>
      <c r="L55" s="514">
        <f>+J55-K55</f>
        <v>37308.570000000065</v>
      </c>
      <c r="M55" s="514"/>
      <c r="O55" s="515">
        <f t="shared" si="0"/>
        <v>37308.570000000065</v>
      </c>
    </row>
    <row r="56" spans="1:15">
      <c r="A56" s="426" t="s">
        <v>2028</v>
      </c>
      <c r="B56" s="287" t="s">
        <v>28</v>
      </c>
      <c r="C56" s="426" t="s">
        <v>2026</v>
      </c>
      <c r="D56" s="405" t="s">
        <v>153</v>
      </c>
      <c r="E56" s="405" t="s">
        <v>33</v>
      </c>
      <c r="F56" s="519">
        <v>43533</v>
      </c>
      <c r="G56" s="519">
        <v>43614</v>
      </c>
      <c r="H56" s="519">
        <v>43643</v>
      </c>
      <c r="I56" s="513">
        <v>906862.26</v>
      </c>
      <c r="J56" s="513"/>
      <c r="K56" s="513"/>
      <c r="L56" s="514"/>
      <c r="M56" s="514"/>
      <c r="O56" s="515">
        <f t="shared" si="0"/>
        <v>0</v>
      </c>
    </row>
    <row r="57" spans="1:15">
      <c r="A57" s="516" t="s">
        <v>2027</v>
      </c>
      <c r="B57" s="287" t="s">
        <v>23</v>
      </c>
      <c r="C57" s="426" t="s">
        <v>2026</v>
      </c>
      <c r="D57" s="405" t="s">
        <v>59</v>
      </c>
      <c r="E57" s="405" t="s">
        <v>33</v>
      </c>
      <c r="F57" s="518">
        <v>43533</v>
      </c>
      <c r="G57" s="518">
        <v>43614</v>
      </c>
      <c r="H57" s="518">
        <v>43643</v>
      </c>
      <c r="I57" s="513">
        <v>268618.03000000003</v>
      </c>
      <c r="J57" s="513">
        <f>+I57+I56</f>
        <v>1175480.29</v>
      </c>
      <c r="K57" s="513">
        <v>721704</v>
      </c>
      <c r="L57" s="514">
        <f>J57-K57</f>
        <v>453776.29000000004</v>
      </c>
      <c r="M57" s="514"/>
      <c r="O57" s="515">
        <f t="shared" si="0"/>
        <v>453776.29000000004</v>
      </c>
    </row>
    <row r="58" spans="1:15">
      <c r="A58" s="516" t="s">
        <v>2255</v>
      </c>
      <c r="B58" s="287" t="s">
        <v>28</v>
      </c>
      <c r="C58" s="426" t="s">
        <v>2256</v>
      </c>
      <c r="D58" s="405" t="s">
        <v>2257</v>
      </c>
      <c r="E58" s="405" t="s">
        <v>33</v>
      </c>
      <c r="F58" s="518">
        <v>43740</v>
      </c>
      <c r="G58" s="518">
        <v>43801</v>
      </c>
      <c r="H58" s="518">
        <v>43825</v>
      </c>
      <c r="I58" s="513">
        <v>1042000</v>
      </c>
      <c r="J58" s="513"/>
      <c r="K58" s="513"/>
      <c r="L58" s="514"/>
      <c r="M58" s="514"/>
      <c r="O58" s="515">
        <f t="shared" si="0"/>
        <v>0</v>
      </c>
    </row>
    <row r="59" spans="1:15">
      <c r="A59" s="516" t="s">
        <v>2258</v>
      </c>
      <c r="B59" s="287" t="s">
        <v>23</v>
      </c>
      <c r="C59" s="426" t="s">
        <v>2256</v>
      </c>
      <c r="D59" s="405" t="s">
        <v>2257</v>
      </c>
      <c r="E59" s="405" t="s">
        <v>33</v>
      </c>
      <c r="F59" s="518">
        <v>43740</v>
      </c>
      <c r="G59" s="518">
        <v>43801</v>
      </c>
      <c r="H59" s="518">
        <v>43825</v>
      </c>
      <c r="I59" s="513">
        <v>115000</v>
      </c>
      <c r="J59" s="513">
        <f>+I59+I58</f>
        <v>1157000</v>
      </c>
      <c r="K59" s="513">
        <v>721704</v>
      </c>
      <c r="L59" s="514">
        <f>+J59-K59</f>
        <v>435296</v>
      </c>
      <c r="M59" s="514"/>
      <c r="O59" s="515">
        <f t="shared" si="0"/>
        <v>435296</v>
      </c>
    </row>
    <row r="60" spans="1:15">
      <c r="A60" s="280" t="s">
        <v>2025</v>
      </c>
      <c r="B60" s="287" t="s">
        <v>93</v>
      </c>
      <c r="C60" s="282" t="s">
        <v>2021</v>
      </c>
      <c r="D60" s="281" t="s">
        <v>38</v>
      </c>
      <c r="E60" s="281" t="s">
        <v>33</v>
      </c>
      <c r="F60" s="283">
        <v>43490</v>
      </c>
      <c r="G60" s="283">
        <v>43543</v>
      </c>
      <c r="H60" s="283">
        <v>43595</v>
      </c>
      <c r="I60" s="513">
        <v>400000</v>
      </c>
      <c r="J60" s="513"/>
      <c r="K60" s="513"/>
      <c r="L60" s="514"/>
      <c r="M60" s="514"/>
      <c r="O60" s="515">
        <f t="shared" si="0"/>
        <v>0</v>
      </c>
    </row>
    <row r="61" spans="1:15">
      <c r="A61" s="280" t="s">
        <v>2024</v>
      </c>
      <c r="B61" s="287" t="s">
        <v>1917</v>
      </c>
      <c r="C61" s="282" t="s">
        <v>2021</v>
      </c>
      <c r="D61" s="281" t="s">
        <v>38</v>
      </c>
      <c r="E61" s="281" t="s">
        <v>33</v>
      </c>
      <c r="F61" s="283">
        <v>43490</v>
      </c>
      <c r="G61" s="283">
        <v>43543</v>
      </c>
      <c r="H61" s="283">
        <v>43598</v>
      </c>
      <c r="I61" s="513">
        <v>50000</v>
      </c>
      <c r="J61" s="513"/>
      <c r="K61" s="513"/>
      <c r="L61" s="514"/>
      <c r="M61" s="514"/>
      <c r="O61" s="515">
        <f t="shared" si="0"/>
        <v>0</v>
      </c>
    </row>
    <row r="62" spans="1:15">
      <c r="A62" s="280" t="s">
        <v>2023</v>
      </c>
      <c r="B62" s="287" t="s">
        <v>23</v>
      </c>
      <c r="C62" s="282" t="s">
        <v>2021</v>
      </c>
      <c r="D62" s="281" t="s">
        <v>38</v>
      </c>
      <c r="E62" s="281" t="s">
        <v>33</v>
      </c>
      <c r="F62" s="283">
        <v>43490</v>
      </c>
      <c r="G62" s="283">
        <v>43543</v>
      </c>
      <c r="H62" s="283">
        <v>43595</v>
      </c>
      <c r="I62" s="513">
        <v>83057.740000000005</v>
      </c>
      <c r="J62" s="513"/>
      <c r="K62" s="513"/>
      <c r="L62" s="514"/>
      <c r="M62" s="514"/>
      <c r="O62" s="515">
        <f t="shared" si="0"/>
        <v>0</v>
      </c>
    </row>
    <row r="63" spans="1:15">
      <c r="A63" s="280" t="s">
        <v>2022</v>
      </c>
      <c r="B63" s="287" t="s">
        <v>28</v>
      </c>
      <c r="C63" s="282" t="s">
        <v>2021</v>
      </c>
      <c r="D63" s="281" t="s">
        <v>38</v>
      </c>
      <c r="E63" s="281" t="s">
        <v>33</v>
      </c>
      <c r="F63" s="283">
        <v>43490</v>
      </c>
      <c r="G63" s="283">
        <v>43543</v>
      </c>
      <c r="H63" s="283">
        <v>43606</v>
      </c>
      <c r="I63" s="513">
        <v>2241611.15</v>
      </c>
      <c r="J63" s="513">
        <f>SUM(I60:I63)</f>
        <v>2774668.8899999997</v>
      </c>
      <c r="K63" s="513">
        <v>721704</v>
      </c>
      <c r="L63" s="514">
        <f>J63-K63</f>
        <v>2052964.8899999997</v>
      </c>
      <c r="M63" s="514"/>
      <c r="O63" s="515">
        <f t="shared" si="0"/>
        <v>2052964.8899999997</v>
      </c>
    </row>
    <row r="64" spans="1:15">
      <c r="A64" s="280" t="s">
        <v>2259</v>
      </c>
      <c r="B64" s="287" t="s">
        <v>30</v>
      </c>
      <c r="C64" s="282" t="s">
        <v>2260</v>
      </c>
      <c r="D64" s="281" t="s">
        <v>2261</v>
      </c>
      <c r="E64" s="281" t="s">
        <v>33</v>
      </c>
      <c r="F64" s="283">
        <v>43597</v>
      </c>
      <c r="G64" s="283">
        <v>43721</v>
      </c>
      <c r="H64" s="283">
        <v>43734</v>
      </c>
      <c r="I64" s="513">
        <v>18225.330000000002</v>
      </c>
      <c r="J64" s="513"/>
      <c r="K64" s="513"/>
      <c r="L64" s="514"/>
      <c r="M64" s="514"/>
      <c r="O64" s="515">
        <f t="shared" si="0"/>
        <v>0</v>
      </c>
    </row>
    <row r="65" spans="1:15">
      <c r="A65" s="280" t="s">
        <v>2262</v>
      </c>
      <c r="B65" s="287" t="s">
        <v>28</v>
      </c>
      <c r="C65" s="282" t="s">
        <v>2260</v>
      </c>
      <c r="D65" s="281" t="s">
        <v>2261</v>
      </c>
      <c r="E65" s="281" t="s">
        <v>33</v>
      </c>
      <c r="F65" s="283">
        <v>43597</v>
      </c>
      <c r="G65" s="283">
        <v>43719</v>
      </c>
      <c r="H65" s="283">
        <v>43727</v>
      </c>
      <c r="I65" s="513">
        <v>152503.91</v>
      </c>
      <c r="J65" s="513"/>
      <c r="K65" s="513"/>
      <c r="L65" s="514"/>
      <c r="M65" s="514"/>
      <c r="O65" s="515">
        <f t="shared" si="0"/>
        <v>0</v>
      </c>
    </row>
    <row r="66" spans="1:15">
      <c r="A66" s="290" t="s">
        <v>2263</v>
      </c>
      <c r="B66" s="287" t="s">
        <v>28</v>
      </c>
      <c r="C66" s="282" t="s">
        <v>2260</v>
      </c>
      <c r="D66" s="281" t="s">
        <v>2261</v>
      </c>
      <c r="E66" s="281" t="s">
        <v>33</v>
      </c>
      <c r="F66" s="288">
        <v>43597</v>
      </c>
      <c r="G66" s="288">
        <v>43721</v>
      </c>
      <c r="H66" s="288">
        <v>43777</v>
      </c>
      <c r="I66" s="513">
        <v>500000</v>
      </c>
      <c r="J66" s="513"/>
      <c r="K66" s="513"/>
      <c r="L66" s="514"/>
      <c r="M66" s="514"/>
      <c r="O66" s="515">
        <f t="shared" si="0"/>
        <v>0</v>
      </c>
    </row>
    <row r="67" spans="1:15">
      <c r="A67" s="282" t="s">
        <v>2264</v>
      </c>
      <c r="B67" s="287" t="s">
        <v>23</v>
      </c>
      <c r="C67" s="282" t="s">
        <v>2260</v>
      </c>
      <c r="D67" s="282" t="s">
        <v>2261</v>
      </c>
      <c r="E67" s="282" t="s">
        <v>33</v>
      </c>
      <c r="F67" s="288">
        <v>43597</v>
      </c>
      <c r="G67" s="288">
        <v>43719</v>
      </c>
      <c r="H67" s="288">
        <v>43727</v>
      </c>
      <c r="I67" s="513">
        <v>60772.12</v>
      </c>
      <c r="J67" s="513"/>
      <c r="K67" s="513"/>
      <c r="L67" s="514"/>
      <c r="M67" s="514"/>
      <c r="O67" s="515">
        <f t="shared" si="0"/>
        <v>0</v>
      </c>
    </row>
    <row r="68" spans="1:15">
      <c r="A68" s="280" t="s">
        <v>2265</v>
      </c>
      <c r="B68" s="287" t="s">
        <v>28</v>
      </c>
      <c r="C68" s="282" t="s">
        <v>2260</v>
      </c>
      <c r="D68" s="281" t="s">
        <v>2261</v>
      </c>
      <c r="E68" s="281" t="s">
        <v>33</v>
      </c>
      <c r="F68" s="283">
        <v>43597</v>
      </c>
      <c r="G68" s="283">
        <v>43739</v>
      </c>
      <c r="H68" s="283">
        <v>43753</v>
      </c>
      <c r="I68" s="513">
        <v>93328.66</v>
      </c>
      <c r="J68" s="513"/>
      <c r="K68" s="513"/>
      <c r="L68" s="514"/>
      <c r="M68" s="514"/>
      <c r="O68" s="515">
        <f t="shared" si="0"/>
        <v>0</v>
      </c>
    </row>
    <row r="69" spans="1:15">
      <c r="A69" s="280" t="s">
        <v>2266</v>
      </c>
      <c r="B69" s="281" t="s">
        <v>23</v>
      </c>
      <c r="C69" s="282" t="s">
        <v>2260</v>
      </c>
      <c r="D69" s="281" t="s">
        <v>2261</v>
      </c>
      <c r="E69" s="281" t="s">
        <v>33</v>
      </c>
      <c r="F69" s="283">
        <v>43597</v>
      </c>
      <c r="G69" s="283">
        <v>43739</v>
      </c>
      <c r="H69" s="283">
        <v>43752</v>
      </c>
      <c r="I69" s="513">
        <v>135723.74</v>
      </c>
      <c r="J69" s="513">
        <f>SUM(I64:I69)</f>
        <v>960553.76</v>
      </c>
      <c r="K69" s="513">
        <v>721704</v>
      </c>
      <c r="L69" s="514">
        <f>J69-K69</f>
        <v>238849.76</v>
      </c>
      <c r="M69" s="514"/>
      <c r="O69" s="515">
        <f t="shared" si="0"/>
        <v>238849.76</v>
      </c>
    </row>
    <row r="70" spans="1:15">
      <c r="A70" s="280"/>
      <c r="B70" s="281"/>
      <c r="C70" s="282"/>
      <c r="D70" s="281"/>
      <c r="E70" s="281"/>
      <c r="F70" s="283"/>
      <c r="G70" s="283"/>
      <c r="H70" s="283"/>
      <c r="I70" s="513"/>
      <c r="J70" s="513"/>
      <c r="K70" s="513"/>
      <c r="L70" s="514"/>
      <c r="M70" s="514"/>
      <c r="O70" s="515">
        <f t="shared" si="0"/>
        <v>0</v>
      </c>
    </row>
    <row r="71" spans="1:15">
      <c r="A71" s="280"/>
      <c r="B71" s="281"/>
      <c r="C71" s="282"/>
      <c r="D71" s="281"/>
      <c r="E71" s="281"/>
      <c r="F71" s="283"/>
      <c r="G71" s="283"/>
      <c r="H71" s="283"/>
      <c r="I71" s="513"/>
      <c r="J71" s="513"/>
      <c r="K71" s="513"/>
      <c r="L71" s="514"/>
      <c r="M71" s="514"/>
      <c r="O71" s="515">
        <f t="shared" si="0"/>
        <v>0</v>
      </c>
    </row>
    <row r="72" spans="1:15" ht="15" thickBot="1">
      <c r="A72" s="280"/>
      <c r="B72" s="281"/>
      <c r="C72" s="282"/>
      <c r="D72" s="281"/>
      <c r="E72" s="281"/>
      <c r="F72" s="283"/>
      <c r="G72" s="283"/>
      <c r="H72" s="384"/>
      <c r="I72" s="520"/>
      <c r="J72" s="520"/>
      <c r="K72" s="520"/>
      <c r="L72" s="521"/>
      <c r="M72" s="521"/>
      <c r="O72" s="522">
        <f t="shared" si="0"/>
        <v>0</v>
      </c>
    </row>
    <row r="73" spans="1:15" ht="15" thickBot="1">
      <c r="H73" s="523" t="s">
        <v>1941</v>
      </c>
      <c r="I73" s="524">
        <f>SUM(I9:I72)</f>
        <v>23457292.380000003</v>
      </c>
      <c r="J73" s="524">
        <f t="shared" ref="J73:L73" si="1">SUM(J9:J72)</f>
        <v>23457292.380000003</v>
      </c>
      <c r="K73" s="524">
        <f t="shared" si="1"/>
        <v>15155784</v>
      </c>
      <c r="L73" s="524">
        <f t="shared" si="1"/>
        <v>8301508.379999999</v>
      </c>
      <c r="M73" s="524"/>
      <c r="N73" s="266"/>
      <c r="O73" s="524">
        <f>SUM(O10:O72)</f>
        <v>8301508.379999999</v>
      </c>
    </row>
    <row r="78" spans="1:15">
      <c r="K78" s="72" t="s">
        <v>1670</v>
      </c>
      <c r="L78" s="525">
        <v>10745000</v>
      </c>
    </row>
    <row r="79" spans="1:15">
      <c r="K79" s="72" t="s">
        <v>2270</v>
      </c>
      <c r="L79" s="525">
        <v>4921198.309258</v>
      </c>
    </row>
    <row r="80" spans="1:15">
      <c r="L80" s="266">
        <f>SUM(L78:L79)</f>
        <v>15666198.309257999</v>
      </c>
      <c r="M80" s="86">
        <f>L73/L80</f>
        <v>0.52989935503970931</v>
      </c>
    </row>
  </sheetData>
  <autoFilter ref="B8:M69" xr:uid="{00000000-0009-0000-0000-000009000000}"/>
  <sortState xmlns:xlrd2="http://schemas.microsoft.com/office/spreadsheetml/2017/richdata2" ref="A9:M69">
    <sortCondition ref="C9:C69"/>
  </sortState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count="1">
    <dataValidation type="list" allowBlank="1" showInputMessage="1" showErrorMessage="1" sqref="B9:B50" xr:uid="{00000000-0002-0000-09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73"/>
  <sheetViews>
    <sheetView showGridLines="0" workbookViewId="0">
      <selection activeCell="A5" sqref="A5:M5"/>
    </sheetView>
  </sheetViews>
  <sheetFormatPr baseColWidth="10" defaultColWidth="11.44140625" defaultRowHeight="14.4"/>
  <cols>
    <col min="1" max="1" width="19.33203125" style="72" bestFit="1" customWidth="1"/>
    <col min="2" max="2" width="21.6640625" style="72" customWidth="1"/>
    <col min="3" max="3" width="35.21875" style="72" customWidth="1"/>
    <col min="4" max="4" width="38.5546875" style="72" customWidth="1"/>
    <col min="5" max="5" width="17.109375" style="72" customWidth="1"/>
    <col min="6" max="7" width="11.44140625" style="72" customWidth="1"/>
    <col min="8" max="8" width="13.5546875" style="72" customWidth="1"/>
    <col min="9" max="10" width="15" style="72" bestFit="1" customWidth="1"/>
    <col min="11" max="11" width="18" style="72" customWidth="1"/>
    <col min="12" max="12" width="15.6640625" style="72" bestFit="1" customWidth="1"/>
    <col min="13" max="13" width="15.44140625" style="72" bestFit="1" customWidth="1"/>
    <col min="14" max="14" width="11.44140625" style="72"/>
    <col min="15" max="15" width="20.21875" style="72" bestFit="1" customWidth="1"/>
    <col min="16" max="16" width="13" style="72" bestFit="1" customWidth="1"/>
    <col min="17" max="19" width="11.44140625" style="72"/>
    <col min="20" max="20" width="47" style="72" bestFit="1" customWidth="1"/>
    <col min="21" max="21" width="29.21875" style="72" bestFit="1" customWidth="1"/>
    <col min="22" max="26" width="11.44140625" style="72"/>
    <col min="27" max="27" width="50.109375" style="72" bestFit="1" customWidth="1"/>
    <col min="28" max="28" width="22.109375" style="72" customWidth="1"/>
    <col min="29" max="29" width="11" style="72" bestFit="1" customWidth="1"/>
    <col min="30" max="30" width="11.5546875" style="72" bestFit="1" customWidth="1"/>
    <col min="31" max="16384" width="11.44140625" style="72"/>
  </cols>
  <sheetData>
    <row r="1" spans="1:28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28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28" ht="18.600000000000001" thickBot="1">
      <c r="A3" s="774" t="s">
        <v>1666</v>
      </c>
      <c r="B3" s="775"/>
      <c r="C3" s="492">
        <v>24.114100000000001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28" ht="18.600000000000001" thickBot="1">
      <c r="A4" s="747" t="s">
        <v>1665</v>
      </c>
      <c r="B4" s="776"/>
      <c r="C4" s="783" t="s">
        <v>2394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28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28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28" ht="18.600000000000001" thickBot="1">
      <c r="A7" s="753" t="s">
        <v>2271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28" ht="29.4" thickBot="1">
      <c r="A8" s="390" t="s">
        <v>9</v>
      </c>
      <c r="B8" s="390" t="s">
        <v>10</v>
      </c>
      <c r="C8" s="529" t="s">
        <v>11</v>
      </c>
      <c r="D8" s="529" t="s">
        <v>12</v>
      </c>
      <c r="E8" s="529" t="s">
        <v>13</v>
      </c>
      <c r="F8" s="529" t="s">
        <v>14</v>
      </c>
      <c r="G8" s="529" t="s">
        <v>15</v>
      </c>
      <c r="H8" s="529" t="s">
        <v>16</v>
      </c>
      <c r="I8" s="529" t="s">
        <v>17</v>
      </c>
      <c r="J8" s="529" t="s">
        <v>18</v>
      </c>
      <c r="K8" s="529" t="s">
        <v>19</v>
      </c>
      <c r="L8" s="530" t="s">
        <v>20</v>
      </c>
      <c r="M8" s="529" t="s">
        <v>21</v>
      </c>
      <c r="O8" s="454" t="s">
        <v>1090</v>
      </c>
      <c r="P8" s="455">
        <f>'BURNING COST'!F8</f>
        <v>721704</v>
      </c>
      <c r="T8" s="260" t="s">
        <v>1062</v>
      </c>
      <c r="U8" s="72" t="s">
        <v>2534</v>
      </c>
      <c r="AA8" s="531" t="s">
        <v>1062</v>
      </c>
      <c r="AB8" s="532" t="s">
        <v>2534</v>
      </c>
    </row>
    <row r="9" spans="1:28" s="399" customFormat="1" ht="15" thickBot="1">
      <c r="A9" s="516" t="s">
        <v>2342</v>
      </c>
      <c r="B9" s="517" t="s">
        <v>174</v>
      </c>
      <c r="C9" s="426" t="s">
        <v>2372</v>
      </c>
      <c r="D9" s="405" t="s">
        <v>2382</v>
      </c>
      <c r="E9" s="405" t="s">
        <v>33</v>
      </c>
      <c r="F9" s="518">
        <v>43919</v>
      </c>
      <c r="G9" s="518">
        <v>44020</v>
      </c>
      <c r="H9" s="518">
        <v>44133</v>
      </c>
      <c r="I9" s="513">
        <v>814272.19</v>
      </c>
      <c r="J9" s="533"/>
      <c r="K9" s="533"/>
      <c r="L9" s="534"/>
      <c r="M9" s="514"/>
      <c r="O9" s="535" t="s">
        <v>1091</v>
      </c>
      <c r="T9" s="262" t="s">
        <v>230</v>
      </c>
      <c r="U9" s="255">
        <v>993000</v>
      </c>
      <c r="V9" s="72"/>
      <c r="AA9" s="262" t="s">
        <v>30</v>
      </c>
      <c r="AB9" s="255">
        <v>1013499.6</v>
      </c>
    </row>
    <row r="10" spans="1:28" s="399" customFormat="1">
      <c r="A10" s="516" t="s">
        <v>2343</v>
      </c>
      <c r="B10" s="517" t="s">
        <v>23</v>
      </c>
      <c r="C10" s="426" t="s">
        <v>2372</v>
      </c>
      <c r="D10" s="405" t="s">
        <v>2382</v>
      </c>
      <c r="E10" s="405" t="s">
        <v>33</v>
      </c>
      <c r="F10" s="518">
        <v>43919</v>
      </c>
      <c r="G10" s="518">
        <v>44032</v>
      </c>
      <c r="H10" s="518">
        <v>44133</v>
      </c>
      <c r="I10" s="513">
        <v>104500</v>
      </c>
      <c r="J10" s="536">
        <f>SUM(I9:I10)</f>
        <v>918772.19</v>
      </c>
      <c r="K10" s="536">
        <v>721704</v>
      </c>
      <c r="L10" s="534">
        <f>J10-K10</f>
        <v>197068.18999999994</v>
      </c>
      <c r="M10" s="514"/>
      <c r="O10" s="537">
        <f>IF($J10&gt;P$8,$J10-P$8,0)</f>
        <v>197068.18999999994</v>
      </c>
      <c r="T10" s="262" t="s">
        <v>2291</v>
      </c>
      <c r="U10" s="255">
        <v>804454.49</v>
      </c>
      <c r="V10" s="72"/>
      <c r="AA10" s="262" t="s">
        <v>23</v>
      </c>
      <c r="AB10" s="255">
        <v>4819657.6100000003</v>
      </c>
    </row>
    <row r="11" spans="1:28" s="399" customFormat="1">
      <c r="A11" s="516" t="s">
        <v>2288</v>
      </c>
      <c r="B11" s="517" t="s">
        <v>174</v>
      </c>
      <c r="C11" s="426" t="s">
        <v>2290</v>
      </c>
      <c r="D11" s="405" t="s">
        <v>59</v>
      </c>
      <c r="E11" s="405" t="s">
        <v>33</v>
      </c>
      <c r="F11" s="518">
        <v>43833</v>
      </c>
      <c r="G11" s="518">
        <v>43913</v>
      </c>
      <c r="H11" s="518">
        <v>43978</v>
      </c>
      <c r="I11" s="513">
        <v>590000</v>
      </c>
      <c r="J11" s="536"/>
      <c r="K11" s="536"/>
      <c r="L11" s="534"/>
      <c r="M11" s="514"/>
      <c r="O11" s="537">
        <f t="shared" ref="O11:O75" si="0">IF($J11&gt;P$8,$J11-P$8,0)</f>
        <v>0</v>
      </c>
      <c r="T11" s="262" t="s">
        <v>54</v>
      </c>
      <c r="U11" s="255">
        <v>1447916.5100000002</v>
      </c>
      <c r="V11" s="72"/>
      <c r="AA11" s="262" t="s">
        <v>958</v>
      </c>
      <c r="AB11" s="255">
        <v>7000</v>
      </c>
    </row>
    <row r="12" spans="1:28" s="399" customFormat="1">
      <c r="A12" s="516" t="s">
        <v>2289</v>
      </c>
      <c r="B12" s="517" t="s">
        <v>23</v>
      </c>
      <c r="C12" s="426" t="s">
        <v>2290</v>
      </c>
      <c r="D12" s="405" t="s">
        <v>59</v>
      </c>
      <c r="E12" s="405" t="s">
        <v>33</v>
      </c>
      <c r="F12" s="518">
        <v>43833</v>
      </c>
      <c r="G12" s="518">
        <v>43893</v>
      </c>
      <c r="H12" s="518">
        <v>43978</v>
      </c>
      <c r="I12" s="513">
        <v>160736.87</v>
      </c>
      <c r="J12" s="536">
        <f>SUM(I11:I12)</f>
        <v>750736.87</v>
      </c>
      <c r="K12" s="536">
        <v>721704</v>
      </c>
      <c r="L12" s="534">
        <f>J12-K12</f>
        <v>29032.869999999995</v>
      </c>
      <c r="M12" s="514"/>
      <c r="O12" s="537">
        <f t="shared" si="0"/>
        <v>29032.869999999995</v>
      </c>
      <c r="T12" s="262" t="s">
        <v>2336</v>
      </c>
      <c r="U12" s="255">
        <v>1156036.31</v>
      </c>
      <c r="V12" s="72"/>
      <c r="AA12" s="262" t="s">
        <v>1917</v>
      </c>
      <c r="AB12" s="255">
        <v>164000</v>
      </c>
    </row>
    <row r="13" spans="1:28" s="399" customFormat="1">
      <c r="A13" s="516" t="s">
        <v>2298</v>
      </c>
      <c r="B13" s="517" t="s">
        <v>174</v>
      </c>
      <c r="C13" s="426" t="s">
        <v>2299</v>
      </c>
      <c r="D13" s="405" t="s">
        <v>2532</v>
      </c>
      <c r="E13" s="405" t="s">
        <v>33</v>
      </c>
      <c r="F13" s="518">
        <v>43973</v>
      </c>
      <c r="G13" s="518">
        <v>43990</v>
      </c>
      <c r="H13" s="518">
        <v>44022</v>
      </c>
      <c r="I13" s="513">
        <v>738928.92</v>
      </c>
      <c r="J13" s="536">
        <f>+I13</f>
        <v>738928.92</v>
      </c>
      <c r="K13" s="536">
        <v>721704</v>
      </c>
      <c r="L13" s="534">
        <f>J13-K13</f>
        <v>17224.920000000042</v>
      </c>
      <c r="M13" s="514"/>
      <c r="O13" s="537">
        <f t="shared" si="0"/>
        <v>17224.920000000042</v>
      </c>
      <c r="T13" s="262" t="s">
        <v>192</v>
      </c>
      <c r="U13" s="255">
        <v>1682795.55</v>
      </c>
      <c r="V13" s="72"/>
      <c r="AA13" s="262" t="s">
        <v>93</v>
      </c>
      <c r="AB13" s="255">
        <v>3569053.33</v>
      </c>
    </row>
    <row r="14" spans="1:28" s="399" customFormat="1">
      <c r="A14" s="516" t="s">
        <v>2272</v>
      </c>
      <c r="B14" s="405" t="s">
        <v>93</v>
      </c>
      <c r="C14" s="426" t="s">
        <v>2276</v>
      </c>
      <c r="D14" s="405" t="s">
        <v>1891</v>
      </c>
      <c r="E14" s="405" t="s">
        <v>33</v>
      </c>
      <c r="F14" s="518">
        <v>43861</v>
      </c>
      <c r="G14" s="518">
        <v>43866</v>
      </c>
      <c r="H14" s="518">
        <v>43867</v>
      </c>
      <c r="I14" s="513">
        <v>1549053.33</v>
      </c>
      <c r="J14" s="536"/>
      <c r="K14" s="536"/>
      <c r="L14" s="534"/>
      <c r="M14" s="514"/>
      <c r="O14" s="537">
        <f t="shared" si="0"/>
        <v>0</v>
      </c>
      <c r="T14" s="262" t="s">
        <v>2442</v>
      </c>
      <c r="U14" s="255">
        <v>975000</v>
      </c>
      <c r="V14" s="72"/>
      <c r="AA14" s="262" t="s">
        <v>174</v>
      </c>
      <c r="AB14" s="255">
        <v>45625369.389999993</v>
      </c>
    </row>
    <row r="15" spans="1:28" s="399" customFormat="1">
      <c r="A15" s="516" t="s">
        <v>2273</v>
      </c>
      <c r="B15" s="517" t="s">
        <v>1985</v>
      </c>
      <c r="C15" s="426" t="s">
        <v>2276</v>
      </c>
      <c r="D15" s="405" t="s">
        <v>1891</v>
      </c>
      <c r="E15" s="405" t="s">
        <v>33</v>
      </c>
      <c r="F15" s="518">
        <v>43861</v>
      </c>
      <c r="G15" s="518">
        <v>43866</v>
      </c>
      <c r="H15" s="518">
        <v>43867</v>
      </c>
      <c r="I15" s="513">
        <v>110000</v>
      </c>
      <c r="J15" s="536"/>
      <c r="K15" s="536"/>
      <c r="L15" s="534"/>
      <c r="M15" s="514"/>
      <c r="O15" s="537">
        <f t="shared" si="0"/>
        <v>0</v>
      </c>
      <c r="T15" s="262" t="s">
        <v>2446</v>
      </c>
      <c r="U15" s="255">
        <v>1050633.55</v>
      </c>
      <c r="V15" s="72"/>
      <c r="AA15" s="262" t="s">
        <v>1985</v>
      </c>
      <c r="AB15" s="255">
        <v>1540000</v>
      </c>
    </row>
    <row r="16" spans="1:28" s="399" customFormat="1">
      <c r="A16" s="516" t="s">
        <v>2274</v>
      </c>
      <c r="B16" s="517" t="s">
        <v>30</v>
      </c>
      <c r="C16" s="426" t="s">
        <v>2276</v>
      </c>
      <c r="D16" s="405" t="s">
        <v>1891</v>
      </c>
      <c r="E16" s="405" t="s">
        <v>33</v>
      </c>
      <c r="F16" s="518">
        <v>43861</v>
      </c>
      <c r="G16" s="518">
        <v>43881</v>
      </c>
      <c r="H16" s="518">
        <v>43887</v>
      </c>
      <c r="I16" s="513">
        <v>104500</v>
      </c>
      <c r="J16" s="536"/>
      <c r="K16" s="536"/>
      <c r="L16" s="534"/>
      <c r="M16" s="514"/>
      <c r="O16" s="537">
        <f t="shared" si="0"/>
        <v>0</v>
      </c>
      <c r="T16" s="262" t="s">
        <v>2532</v>
      </c>
      <c r="U16" s="255">
        <v>738928.92</v>
      </c>
      <c r="V16" s="72"/>
      <c r="AA16" s="262" t="s">
        <v>36</v>
      </c>
      <c r="AB16" s="255">
        <v>3349962.32</v>
      </c>
    </row>
    <row r="17" spans="1:30" s="399" customFormat="1">
      <c r="A17" s="516" t="s">
        <v>2275</v>
      </c>
      <c r="B17" s="517" t="s">
        <v>174</v>
      </c>
      <c r="C17" s="426" t="s">
        <v>2276</v>
      </c>
      <c r="D17" s="405" t="s">
        <v>1891</v>
      </c>
      <c r="E17" s="405" t="s">
        <v>33</v>
      </c>
      <c r="F17" s="518">
        <v>43861</v>
      </c>
      <c r="G17" s="518">
        <v>43881</v>
      </c>
      <c r="H17" s="518">
        <v>43887</v>
      </c>
      <c r="I17" s="513">
        <v>542379.56000000006</v>
      </c>
      <c r="J17" s="536"/>
      <c r="K17" s="536"/>
      <c r="L17" s="534"/>
      <c r="M17" s="514"/>
      <c r="O17" s="537">
        <f t="shared" si="0"/>
        <v>0</v>
      </c>
      <c r="T17" s="262" t="s">
        <v>2326</v>
      </c>
      <c r="U17" s="255">
        <v>11218663.970000001</v>
      </c>
      <c r="V17" s="72"/>
      <c r="AA17" s="262" t="s">
        <v>1900</v>
      </c>
      <c r="AB17" s="255">
        <v>992000</v>
      </c>
    </row>
    <row r="18" spans="1:30" s="399" customFormat="1">
      <c r="A18" s="516" t="s">
        <v>2277</v>
      </c>
      <c r="B18" s="517" t="s">
        <v>174</v>
      </c>
      <c r="C18" s="426" t="s">
        <v>2276</v>
      </c>
      <c r="D18" s="405" t="s">
        <v>1891</v>
      </c>
      <c r="E18" s="405" t="s">
        <v>33</v>
      </c>
      <c r="F18" s="518">
        <v>43861</v>
      </c>
      <c r="G18" s="518">
        <v>43902</v>
      </c>
      <c r="H18" s="518">
        <v>43906</v>
      </c>
      <c r="I18" s="513">
        <v>36950.870000000003</v>
      </c>
      <c r="J18" s="536"/>
      <c r="K18" s="536"/>
      <c r="L18" s="534"/>
      <c r="M18" s="514"/>
      <c r="O18" s="537">
        <f t="shared" si="0"/>
        <v>0</v>
      </c>
      <c r="T18" s="262" t="s">
        <v>69</v>
      </c>
      <c r="U18" s="255">
        <v>3948464.88</v>
      </c>
      <c r="V18" s="72"/>
      <c r="AA18" s="538" t="s">
        <v>1066</v>
      </c>
      <c r="AB18" s="539">
        <f>SUM(AB9:AB17)</f>
        <v>61080542.249999993</v>
      </c>
    </row>
    <row r="19" spans="1:30" s="399" customFormat="1">
      <c r="A19" s="516" t="s">
        <v>2278</v>
      </c>
      <c r="B19" s="517" t="s">
        <v>23</v>
      </c>
      <c r="C19" s="426" t="s">
        <v>2276</v>
      </c>
      <c r="D19" s="405" t="s">
        <v>1891</v>
      </c>
      <c r="E19" s="405" t="s">
        <v>33</v>
      </c>
      <c r="F19" s="518">
        <v>43861</v>
      </c>
      <c r="G19" s="518">
        <v>43902</v>
      </c>
      <c r="H19" s="518">
        <v>43906</v>
      </c>
      <c r="I19" s="513">
        <v>55969.4</v>
      </c>
      <c r="J19" s="536">
        <f>SUM(I14:I19)</f>
        <v>2398853.16</v>
      </c>
      <c r="K19" s="536">
        <v>721704</v>
      </c>
      <c r="L19" s="534">
        <f>J19-K19</f>
        <v>1677149.1600000001</v>
      </c>
      <c r="M19" s="514"/>
      <c r="O19" s="537">
        <f t="shared" si="0"/>
        <v>1677149.1600000001</v>
      </c>
      <c r="T19" s="262" t="s">
        <v>2335</v>
      </c>
      <c r="U19" s="255">
        <v>1210000</v>
      </c>
      <c r="V19" s="72"/>
    </row>
    <row r="20" spans="1:30" s="399" customFormat="1" ht="22.2" customHeight="1">
      <c r="A20" s="516" t="s">
        <v>2329</v>
      </c>
      <c r="B20" s="517" t="s">
        <v>174</v>
      </c>
      <c r="C20" s="426" t="s">
        <v>2327</v>
      </c>
      <c r="D20" s="405" t="s">
        <v>2383</v>
      </c>
      <c r="E20" s="405" t="s">
        <v>33</v>
      </c>
      <c r="F20" s="518">
        <v>44008</v>
      </c>
      <c r="G20" s="518">
        <v>44099</v>
      </c>
      <c r="H20" s="518">
        <v>44103</v>
      </c>
      <c r="I20" s="513">
        <v>1200002.42</v>
      </c>
      <c r="J20" s="536">
        <f>+I20</f>
        <v>1200002.42</v>
      </c>
      <c r="K20" s="536">
        <v>721704</v>
      </c>
      <c r="L20" s="534">
        <f>J20-K20</f>
        <v>478298.41999999993</v>
      </c>
      <c r="M20" s="514"/>
      <c r="O20" s="537">
        <f t="shared" si="0"/>
        <v>478298.41999999993</v>
      </c>
      <c r="T20" s="262" t="s">
        <v>2531</v>
      </c>
      <c r="U20" s="255">
        <v>1475000</v>
      </c>
      <c r="V20" s="72"/>
      <c r="AA20" s="531" t="s">
        <v>1062</v>
      </c>
      <c r="AB20" s="532" t="s">
        <v>2534</v>
      </c>
    </row>
    <row r="21" spans="1:30" s="399" customFormat="1">
      <c r="A21" s="516" t="s">
        <v>2330</v>
      </c>
      <c r="B21" s="517" t="s">
        <v>174</v>
      </c>
      <c r="C21" s="426" t="s">
        <v>2328</v>
      </c>
      <c r="D21" s="405" t="s">
        <v>2335</v>
      </c>
      <c r="E21" s="405" t="s">
        <v>33</v>
      </c>
      <c r="F21" s="518">
        <v>43992</v>
      </c>
      <c r="G21" s="518">
        <v>44033</v>
      </c>
      <c r="H21" s="518">
        <v>44077</v>
      </c>
      <c r="I21" s="513">
        <v>1210000</v>
      </c>
      <c r="J21" s="536">
        <f>+I21</f>
        <v>1210000</v>
      </c>
      <c r="K21" s="536">
        <v>721704</v>
      </c>
      <c r="L21" s="534">
        <f>J21-K21</f>
        <v>488296</v>
      </c>
      <c r="M21" s="514"/>
      <c r="O21" s="537">
        <f t="shared" si="0"/>
        <v>488296</v>
      </c>
      <c r="T21" s="262" t="s">
        <v>1891</v>
      </c>
      <c r="U21" s="255">
        <v>3975853.16</v>
      </c>
      <c r="V21" s="72"/>
      <c r="AA21" s="262" t="s">
        <v>230</v>
      </c>
      <c r="AB21" s="255">
        <v>993000</v>
      </c>
    </row>
    <row r="22" spans="1:30" s="399" customFormat="1">
      <c r="A22" s="516" t="s">
        <v>2306</v>
      </c>
      <c r="B22" s="517" t="s">
        <v>30</v>
      </c>
      <c r="C22" s="426" t="s">
        <v>2319</v>
      </c>
      <c r="D22" s="405" t="s">
        <v>2326</v>
      </c>
      <c r="E22" s="405" t="s">
        <v>33</v>
      </c>
      <c r="F22" s="518">
        <v>44016</v>
      </c>
      <c r="G22" s="518">
        <v>44054</v>
      </c>
      <c r="H22" s="518">
        <v>44064</v>
      </c>
      <c r="I22" s="513">
        <v>26822.39</v>
      </c>
      <c r="J22" s="536"/>
      <c r="K22" s="536"/>
      <c r="L22" s="534"/>
      <c r="M22" s="514"/>
      <c r="O22" s="537">
        <f t="shared" si="0"/>
        <v>0</v>
      </c>
      <c r="T22" s="262" t="s">
        <v>38</v>
      </c>
      <c r="U22" s="255">
        <v>2868191.91</v>
      </c>
      <c r="V22" s="72"/>
      <c r="AA22" s="262" t="s">
        <v>2291</v>
      </c>
      <c r="AB22" s="255">
        <v>804454.49</v>
      </c>
    </row>
    <row r="23" spans="1:30" s="399" customFormat="1">
      <c r="A23" s="516" t="s">
        <v>2307</v>
      </c>
      <c r="B23" s="517" t="s">
        <v>174</v>
      </c>
      <c r="C23" s="426" t="s">
        <v>2319</v>
      </c>
      <c r="D23" s="405" t="s">
        <v>2326</v>
      </c>
      <c r="E23" s="405" t="s">
        <v>33</v>
      </c>
      <c r="F23" s="518">
        <v>44016</v>
      </c>
      <c r="G23" s="518">
        <v>44054</v>
      </c>
      <c r="H23" s="518">
        <v>44064</v>
      </c>
      <c r="I23" s="513">
        <v>788477.38</v>
      </c>
      <c r="J23" s="536">
        <f>SUM(I22:I23)</f>
        <v>815299.77</v>
      </c>
      <c r="K23" s="536">
        <v>721704</v>
      </c>
      <c r="L23" s="534">
        <f>J23-K23</f>
        <v>93595.770000000019</v>
      </c>
      <c r="M23" s="514"/>
      <c r="O23" s="537">
        <f t="shared" si="0"/>
        <v>93595.770000000019</v>
      </c>
      <c r="T23" s="262" t="s">
        <v>84</v>
      </c>
      <c r="U23" s="255">
        <v>5609270.9300000006</v>
      </c>
      <c r="V23" s="72"/>
      <c r="AA23" s="262" t="s">
        <v>54</v>
      </c>
      <c r="AB23" s="255">
        <v>1360626.9900000002</v>
      </c>
    </row>
    <row r="24" spans="1:30" s="399" customFormat="1">
      <c r="A24" s="516" t="s">
        <v>2344</v>
      </c>
      <c r="B24" s="517" t="s">
        <v>23</v>
      </c>
      <c r="C24" s="426" t="s">
        <v>2373</v>
      </c>
      <c r="D24" s="405" t="s">
        <v>2383</v>
      </c>
      <c r="E24" s="405" t="s">
        <v>33</v>
      </c>
      <c r="F24" s="518">
        <v>44009</v>
      </c>
      <c r="G24" s="518">
        <v>44100</v>
      </c>
      <c r="H24" s="518">
        <v>44116</v>
      </c>
      <c r="I24" s="513">
        <v>171153.07</v>
      </c>
      <c r="J24" s="536"/>
      <c r="K24" s="536"/>
      <c r="L24" s="534"/>
      <c r="M24" s="514"/>
      <c r="O24" s="537">
        <f t="shared" si="0"/>
        <v>0</v>
      </c>
      <c r="T24" s="262" t="s">
        <v>2382</v>
      </c>
      <c r="U24" s="255">
        <v>918772.19</v>
      </c>
      <c r="V24" s="72"/>
      <c r="AA24" s="262" t="s">
        <v>2336</v>
      </c>
      <c r="AB24" s="255">
        <v>1156036.31</v>
      </c>
    </row>
    <row r="25" spans="1:30" s="399" customFormat="1">
      <c r="A25" s="516" t="s">
        <v>2345</v>
      </c>
      <c r="B25" s="517" t="s">
        <v>174</v>
      </c>
      <c r="C25" s="426" t="s">
        <v>2373</v>
      </c>
      <c r="D25" s="405" t="s">
        <v>2383</v>
      </c>
      <c r="E25" s="405" t="s">
        <v>33</v>
      </c>
      <c r="F25" s="518">
        <v>44009</v>
      </c>
      <c r="G25" s="518">
        <v>44077</v>
      </c>
      <c r="H25" s="518">
        <v>44116</v>
      </c>
      <c r="I25" s="513">
        <v>653083.52</v>
      </c>
      <c r="J25" s="536">
        <f>SUM(I24:I25)</f>
        <v>824236.59000000008</v>
      </c>
      <c r="K25" s="536">
        <v>721704</v>
      </c>
      <c r="L25" s="534">
        <f>J25-K25</f>
        <v>102532.59000000008</v>
      </c>
      <c r="M25" s="514"/>
      <c r="O25" s="537">
        <f t="shared" si="0"/>
        <v>102532.59000000008</v>
      </c>
      <c r="T25" s="262" t="s">
        <v>2383</v>
      </c>
      <c r="U25" s="255">
        <v>2024239.01</v>
      </c>
      <c r="V25" s="72"/>
      <c r="AA25" s="262" t="s">
        <v>192</v>
      </c>
      <c r="AB25" s="255">
        <v>1682795.55</v>
      </c>
    </row>
    <row r="26" spans="1:30" s="399" customFormat="1">
      <c r="A26" s="516" t="s">
        <v>2395</v>
      </c>
      <c r="B26" s="517" t="s">
        <v>174</v>
      </c>
      <c r="C26" s="426" t="s">
        <v>2396</v>
      </c>
      <c r="D26" s="405" t="s">
        <v>2397</v>
      </c>
      <c r="E26" s="405" t="s">
        <v>33</v>
      </c>
      <c r="F26" s="518">
        <v>44129</v>
      </c>
      <c r="G26" s="518">
        <v>44174</v>
      </c>
      <c r="H26" s="518">
        <v>44225</v>
      </c>
      <c r="I26" s="513">
        <v>1500000</v>
      </c>
      <c r="J26" s="536"/>
      <c r="K26" s="536"/>
      <c r="L26" s="534"/>
      <c r="M26" s="514"/>
      <c r="O26" s="537">
        <f t="shared" si="0"/>
        <v>0</v>
      </c>
      <c r="T26" s="262" t="s">
        <v>2334</v>
      </c>
      <c r="U26" s="255">
        <v>895255.55</v>
      </c>
      <c r="AA26" s="262" t="s">
        <v>2442</v>
      </c>
      <c r="AB26" s="255">
        <v>975000</v>
      </c>
    </row>
    <row r="27" spans="1:30" s="399" customFormat="1">
      <c r="A27" s="516" t="s">
        <v>2398</v>
      </c>
      <c r="B27" s="517" t="s">
        <v>23</v>
      </c>
      <c r="C27" s="426" t="s">
        <v>2396</v>
      </c>
      <c r="D27" s="405" t="s">
        <v>2397</v>
      </c>
      <c r="E27" s="405" t="s">
        <v>33</v>
      </c>
      <c r="F27" s="518">
        <v>44129</v>
      </c>
      <c r="G27" s="518">
        <v>44174</v>
      </c>
      <c r="H27" s="518">
        <v>44225</v>
      </c>
      <c r="I27" s="513">
        <v>104500</v>
      </c>
      <c r="J27" s="536">
        <f>SUM(I26:I27)</f>
        <v>1604500</v>
      </c>
      <c r="K27" s="536">
        <v>721704</v>
      </c>
      <c r="L27" s="534">
        <f>J27-K27</f>
        <v>882796</v>
      </c>
      <c r="M27" s="514"/>
      <c r="O27" s="537">
        <f t="shared" si="0"/>
        <v>882796</v>
      </c>
      <c r="T27" s="262" t="s">
        <v>2409</v>
      </c>
      <c r="U27" s="255">
        <v>1162741.05</v>
      </c>
      <c r="AA27" s="262" t="s">
        <v>2446</v>
      </c>
      <c r="AB27" s="255">
        <v>1050633.55</v>
      </c>
    </row>
    <row r="28" spans="1:30" s="399" customFormat="1">
      <c r="A28" s="516" t="s">
        <v>2308</v>
      </c>
      <c r="B28" s="517" t="s">
        <v>174</v>
      </c>
      <c r="C28" s="426" t="s">
        <v>2320</v>
      </c>
      <c r="D28" s="405" t="s">
        <v>69</v>
      </c>
      <c r="E28" s="405" t="s">
        <v>33</v>
      </c>
      <c r="F28" s="518">
        <v>43986</v>
      </c>
      <c r="G28" s="518">
        <v>44034</v>
      </c>
      <c r="H28" s="518">
        <v>44068</v>
      </c>
      <c r="I28" s="513">
        <v>1000000</v>
      </c>
      <c r="J28" s="536"/>
      <c r="K28" s="536"/>
      <c r="L28" s="534"/>
      <c r="M28" s="514"/>
      <c r="O28" s="537">
        <f t="shared" si="0"/>
        <v>0</v>
      </c>
      <c r="T28" s="262" t="s">
        <v>2384</v>
      </c>
      <c r="U28" s="255">
        <v>1343955.49</v>
      </c>
      <c r="AA28" s="262" t="s">
        <v>2532</v>
      </c>
      <c r="AB28" s="255">
        <v>738928.92</v>
      </c>
    </row>
    <row r="29" spans="1:30" s="399" customFormat="1">
      <c r="A29" s="516" t="s">
        <v>2309</v>
      </c>
      <c r="B29" s="517" t="s">
        <v>23</v>
      </c>
      <c r="C29" s="426" t="s">
        <v>2320</v>
      </c>
      <c r="D29" s="405" t="s">
        <v>69</v>
      </c>
      <c r="E29" s="405" t="s">
        <v>33</v>
      </c>
      <c r="F29" s="518">
        <v>43986</v>
      </c>
      <c r="G29" s="518">
        <v>44034</v>
      </c>
      <c r="H29" s="518">
        <v>44068</v>
      </c>
      <c r="I29" s="513">
        <v>49327.26</v>
      </c>
      <c r="J29" s="536">
        <f>SUM(I28:I29)</f>
        <v>1049327.26</v>
      </c>
      <c r="K29" s="536">
        <v>721704</v>
      </c>
      <c r="L29" s="534">
        <f>J29-K29</f>
        <v>327623.26</v>
      </c>
      <c r="M29" s="514"/>
      <c r="O29" s="537">
        <f t="shared" si="0"/>
        <v>327623.26</v>
      </c>
      <c r="T29" s="262" t="s">
        <v>2397</v>
      </c>
      <c r="U29" s="255">
        <v>1604500</v>
      </c>
      <c r="AA29" s="540" t="s">
        <v>2326</v>
      </c>
      <c r="AB29" s="541">
        <v>10018663.970000001</v>
      </c>
      <c r="AC29" s="542">
        <f>+AB29+AB37+AB38+AB39+AB40+AB41+AB43+AB44+AB46+AB48</f>
        <v>25621293.010000002</v>
      </c>
      <c r="AD29" s="543">
        <f>AC29/AB18</f>
        <v>0.4194673469847921</v>
      </c>
    </row>
    <row r="30" spans="1:30" s="399" customFormat="1">
      <c r="A30" s="516" t="s">
        <v>2399</v>
      </c>
      <c r="B30" s="517" t="s">
        <v>1917</v>
      </c>
      <c r="C30" s="426" t="s">
        <v>2400</v>
      </c>
      <c r="D30" s="405" t="s">
        <v>2401</v>
      </c>
      <c r="E30" s="405" t="s">
        <v>33</v>
      </c>
      <c r="F30" s="518">
        <v>44155</v>
      </c>
      <c r="G30" s="518">
        <v>44211</v>
      </c>
      <c r="H30" s="518">
        <v>44221</v>
      </c>
      <c r="I30" s="513">
        <v>50000</v>
      </c>
      <c r="J30" s="536"/>
      <c r="K30" s="536"/>
      <c r="L30" s="534"/>
      <c r="M30" s="514"/>
      <c r="O30" s="537">
        <f t="shared" si="0"/>
        <v>0</v>
      </c>
      <c r="T30" s="262" t="s">
        <v>2533</v>
      </c>
      <c r="U30" s="255">
        <v>1040572.14</v>
      </c>
      <c r="AA30" s="262" t="s">
        <v>69</v>
      </c>
      <c r="AB30" s="255">
        <v>3948464.88</v>
      </c>
    </row>
    <row r="31" spans="1:30" s="399" customFormat="1">
      <c r="A31" s="516" t="s">
        <v>2402</v>
      </c>
      <c r="B31" s="517" t="s">
        <v>174</v>
      </c>
      <c r="C31" s="426" t="s">
        <v>2400</v>
      </c>
      <c r="D31" s="405" t="s">
        <v>2401</v>
      </c>
      <c r="E31" s="405" t="s">
        <v>33</v>
      </c>
      <c r="F31" s="518">
        <v>44155</v>
      </c>
      <c r="G31" s="518">
        <v>44211</v>
      </c>
      <c r="H31" s="518"/>
      <c r="I31" s="513">
        <v>1373513.18</v>
      </c>
      <c r="J31" s="536"/>
      <c r="K31" s="536"/>
      <c r="L31" s="534"/>
      <c r="M31" s="514"/>
      <c r="O31" s="537">
        <f t="shared" si="0"/>
        <v>0</v>
      </c>
      <c r="T31" s="262" t="s">
        <v>2401</v>
      </c>
      <c r="U31" s="255">
        <v>4052245.0299999993</v>
      </c>
      <c r="AA31" s="262" t="s">
        <v>2335</v>
      </c>
      <c r="AB31" s="255">
        <v>1210000</v>
      </c>
    </row>
    <row r="32" spans="1:30" s="399" customFormat="1">
      <c r="A32" s="516" t="s">
        <v>2403</v>
      </c>
      <c r="B32" s="517" t="s">
        <v>23</v>
      </c>
      <c r="C32" s="426" t="s">
        <v>2400</v>
      </c>
      <c r="D32" s="405" t="s">
        <v>2401</v>
      </c>
      <c r="E32" s="405" t="s">
        <v>33</v>
      </c>
      <c r="F32" s="518">
        <v>44155</v>
      </c>
      <c r="G32" s="518">
        <v>44211</v>
      </c>
      <c r="H32" s="518">
        <v>44218</v>
      </c>
      <c r="I32" s="513">
        <v>110000</v>
      </c>
      <c r="J32" s="536">
        <f>SUM(I30:I32)</f>
        <v>1533513.18</v>
      </c>
      <c r="K32" s="536">
        <v>721704</v>
      </c>
      <c r="L32" s="534">
        <f>J32-K32</f>
        <v>811809.17999999993</v>
      </c>
      <c r="M32" s="514"/>
      <c r="O32" s="537">
        <f t="shared" si="0"/>
        <v>811809.17999999993</v>
      </c>
      <c r="T32" s="262" t="s">
        <v>2406</v>
      </c>
      <c r="U32" s="255">
        <v>1142464.43</v>
      </c>
      <c r="AA32" s="262" t="s">
        <v>2531</v>
      </c>
      <c r="AB32" s="255">
        <v>1475000</v>
      </c>
    </row>
    <row r="33" spans="1:29" s="399" customFormat="1">
      <c r="A33" s="516" t="s">
        <v>2404</v>
      </c>
      <c r="B33" s="517" t="s">
        <v>174</v>
      </c>
      <c r="C33" s="426" t="s">
        <v>2405</v>
      </c>
      <c r="D33" s="405" t="s">
        <v>2406</v>
      </c>
      <c r="E33" s="405" t="s">
        <v>33</v>
      </c>
      <c r="F33" s="518">
        <v>44156</v>
      </c>
      <c r="G33" s="518">
        <v>44235</v>
      </c>
      <c r="H33" s="518">
        <v>44253</v>
      </c>
      <c r="I33" s="513">
        <v>1142464.43</v>
      </c>
      <c r="J33" s="536">
        <f>+I33</f>
        <v>1142464.43</v>
      </c>
      <c r="K33" s="536">
        <v>721704</v>
      </c>
      <c r="L33" s="534">
        <f>J33-K33</f>
        <v>420760.42999999993</v>
      </c>
      <c r="M33" s="514"/>
      <c r="O33" s="537">
        <f t="shared" si="0"/>
        <v>420760.42999999993</v>
      </c>
      <c r="T33" s="262" t="s">
        <v>59</v>
      </c>
      <c r="U33" s="255">
        <v>6856843.8099999996</v>
      </c>
      <c r="AA33" s="262" t="s">
        <v>1891</v>
      </c>
      <c r="AB33" s="255">
        <v>3959353.16</v>
      </c>
    </row>
    <row r="34" spans="1:29" s="399" customFormat="1">
      <c r="A34" s="426" t="s">
        <v>2407</v>
      </c>
      <c r="B34" s="517" t="s">
        <v>30</v>
      </c>
      <c r="C34" s="426" t="s">
        <v>2408</v>
      </c>
      <c r="D34" s="405" t="s">
        <v>2409</v>
      </c>
      <c r="E34" s="405" t="s">
        <v>33</v>
      </c>
      <c r="F34" s="519">
        <v>43995</v>
      </c>
      <c r="G34" s="519">
        <v>44188</v>
      </c>
      <c r="H34" s="519">
        <v>44211</v>
      </c>
      <c r="I34" s="513">
        <v>153000</v>
      </c>
      <c r="J34" s="536"/>
      <c r="K34" s="536"/>
      <c r="L34" s="534"/>
      <c r="M34" s="514"/>
      <c r="O34" s="537">
        <f t="shared" si="0"/>
        <v>0</v>
      </c>
      <c r="T34" s="262" t="s">
        <v>2385</v>
      </c>
      <c r="U34" s="255">
        <v>3431827.29</v>
      </c>
      <c r="AA34" s="262" t="s">
        <v>38</v>
      </c>
      <c r="AB34" s="255">
        <v>2868191.91</v>
      </c>
      <c r="AC34" s="544"/>
    </row>
    <row r="35" spans="1:29" s="399" customFormat="1">
      <c r="A35" s="516" t="s">
        <v>2410</v>
      </c>
      <c r="B35" s="517" t="s">
        <v>174</v>
      </c>
      <c r="C35" s="426" t="s">
        <v>2408</v>
      </c>
      <c r="D35" s="405" t="s">
        <v>2409</v>
      </c>
      <c r="E35" s="405" t="s">
        <v>33</v>
      </c>
      <c r="F35" s="518">
        <v>43995</v>
      </c>
      <c r="G35" s="518">
        <v>44210</v>
      </c>
      <c r="H35" s="518"/>
      <c r="I35" s="513">
        <v>759741.05</v>
      </c>
      <c r="J35" s="536"/>
      <c r="K35" s="536"/>
      <c r="L35" s="534"/>
      <c r="M35" s="514"/>
      <c r="O35" s="537">
        <f t="shared" si="0"/>
        <v>0</v>
      </c>
      <c r="T35" s="262" t="s">
        <v>2386</v>
      </c>
      <c r="U35" s="255">
        <v>855000</v>
      </c>
      <c r="AA35" s="262" t="s">
        <v>84</v>
      </c>
      <c r="AB35" s="255">
        <v>4617229.99</v>
      </c>
    </row>
    <row r="36" spans="1:29" s="399" customFormat="1">
      <c r="A36" s="516" t="s">
        <v>2411</v>
      </c>
      <c r="B36" s="517" t="s">
        <v>174</v>
      </c>
      <c r="C36" s="426" t="s">
        <v>2408</v>
      </c>
      <c r="D36" s="405" t="s">
        <v>2409</v>
      </c>
      <c r="E36" s="405" t="s">
        <v>33</v>
      </c>
      <c r="F36" s="518">
        <v>43995</v>
      </c>
      <c r="G36" s="518">
        <v>44188</v>
      </c>
      <c r="H36" s="518">
        <v>44260</v>
      </c>
      <c r="I36" s="513">
        <v>250000</v>
      </c>
      <c r="J36" s="536">
        <f>+I35+I34+I36</f>
        <v>1162741.05</v>
      </c>
      <c r="K36" s="536">
        <v>721704</v>
      </c>
      <c r="L36" s="534">
        <f>J36-K36</f>
        <v>441037.05000000005</v>
      </c>
      <c r="M36" s="514"/>
      <c r="O36" s="537">
        <f t="shared" si="0"/>
        <v>441037.05000000005</v>
      </c>
      <c r="T36" s="262" t="s">
        <v>2553</v>
      </c>
      <c r="U36" s="255">
        <v>1853079.76</v>
      </c>
      <c r="AA36" s="262" t="s">
        <v>2382</v>
      </c>
      <c r="AB36" s="255">
        <v>918772.19</v>
      </c>
    </row>
    <row r="37" spans="1:29" s="399" customFormat="1">
      <c r="A37" s="516" t="s">
        <v>2279</v>
      </c>
      <c r="B37" s="517" t="s">
        <v>174</v>
      </c>
      <c r="C37" s="426" t="s">
        <v>2283</v>
      </c>
      <c r="D37" s="405" t="s">
        <v>54</v>
      </c>
      <c r="E37" s="405" t="s">
        <v>33</v>
      </c>
      <c r="F37" s="518">
        <v>43874</v>
      </c>
      <c r="G37" s="518">
        <v>43899</v>
      </c>
      <c r="H37" s="518">
        <v>43918</v>
      </c>
      <c r="I37" s="513">
        <v>849999.33</v>
      </c>
      <c r="J37" s="536"/>
      <c r="K37" s="536"/>
      <c r="L37" s="534"/>
      <c r="M37" s="514"/>
      <c r="O37" s="537">
        <f t="shared" si="0"/>
        <v>0</v>
      </c>
      <c r="T37" s="262" t="s">
        <v>2548</v>
      </c>
      <c r="U37" s="255">
        <v>769870.21</v>
      </c>
      <c r="AA37" s="540" t="s">
        <v>2383</v>
      </c>
      <c r="AB37" s="541">
        <v>2024239.01</v>
      </c>
    </row>
    <row r="38" spans="1:29" s="399" customFormat="1">
      <c r="A38" s="516" t="s">
        <v>2280</v>
      </c>
      <c r="B38" s="517" t="s">
        <v>23</v>
      </c>
      <c r="C38" s="426" t="s">
        <v>2283</v>
      </c>
      <c r="D38" s="405" t="s">
        <v>54</v>
      </c>
      <c r="E38" s="405" t="s">
        <v>33</v>
      </c>
      <c r="F38" s="518">
        <v>43874</v>
      </c>
      <c r="G38" s="518">
        <v>43899</v>
      </c>
      <c r="H38" s="518">
        <v>43918</v>
      </c>
      <c r="I38" s="513">
        <v>307500</v>
      </c>
      <c r="J38" s="536"/>
      <c r="K38" s="536"/>
      <c r="L38" s="534"/>
      <c r="M38" s="514"/>
      <c r="O38" s="537">
        <f t="shared" si="0"/>
        <v>0</v>
      </c>
      <c r="T38" s="262" t="s">
        <v>1066</v>
      </c>
      <c r="U38" s="255">
        <v>67105576.139999993</v>
      </c>
      <c r="AA38" s="540" t="s">
        <v>2334</v>
      </c>
      <c r="AB38" s="541">
        <v>895255.55</v>
      </c>
    </row>
    <row r="39" spans="1:29" s="399" customFormat="1">
      <c r="A39" s="516" t="s">
        <v>2285</v>
      </c>
      <c r="B39" s="517" t="s">
        <v>1917</v>
      </c>
      <c r="C39" s="426" t="s">
        <v>2283</v>
      </c>
      <c r="D39" s="405" t="s">
        <v>54</v>
      </c>
      <c r="E39" s="405" t="s">
        <v>33</v>
      </c>
      <c r="F39" s="518">
        <v>43874</v>
      </c>
      <c r="G39" s="518">
        <v>43950</v>
      </c>
      <c r="H39" s="518">
        <v>43949</v>
      </c>
      <c r="I39" s="513">
        <v>50000</v>
      </c>
      <c r="J39" s="536"/>
      <c r="K39" s="536"/>
      <c r="L39" s="534"/>
      <c r="M39" s="514"/>
      <c r="O39" s="537">
        <f t="shared" si="0"/>
        <v>0</v>
      </c>
      <c r="AA39" s="540" t="s">
        <v>2409</v>
      </c>
      <c r="AB39" s="541">
        <v>1162741.05</v>
      </c>
    </row>
    <row r="40" spans="1:29" s="399" customFormat="1">
      <c r="A40" s="516" t="s">
        <v>2286</v>
      </c>
      <c r="B40" s="517" t="s">
        <v>174</v>
      </c>
      <c r="C40" s="426" t="s">
        <v>2283</v>
      </c>
      <c r="D40" s="405" t="s">
        <v>54</v>
      </c>
      <c r="E40" s="405" t="s">
        <v>33</v>
      </c>
      <c r="F40" s="518">
        <v>43874</v>
      </c>
      <c r="G40" s="518">
        <v>43950</v>
      </c>
      <c r="H40" s="518">
        <v>43978</v>
      </c>
      <c r="I40" s="513">
        <v>67233.55</v>
      </c>
      <c r="J40" s="536"/>
      <c r="K40" s="536"/>
      <c r="L40" s="534"/>
      <c r="M40" s="514"/>
      <c r="O40" s="537">
        <f t="shared" si="0"/>
        <v>0</v>
      </c>
      <c r="AA40" s="540" t="s">
        <v>2384</v>
      </c>
      <c r="AB40" s="541">
        <v>1252841.06</v>
      </c>
    </row>
    <row r="41" spans="1:29" s="399" customFormat="1">
      <c r="A41" s="516" t="s">
        <v>2287</v>
      </c>
      <c r="B41" s="517" t="s">
        <v>23</v>
      </c>
      <c r="C41" s="426" t="s">
        <v>2283</v>
      </c>
      <c r="D41" s="405" t="s">
        <v>54</v>
      </c>
      <c r="E41" s="405" t="s">
        <v>33</v>
      </c>
      <c r="F41" s="518">
        <v>43874</v>
      </c>
      <c r="G41" s="518">
        <v>43950</v>
      </c>
      <c r="H41" s="518">
        <v>43978</v>
      </c>
      <c r="I41" s="513">
        <v>85894.11</v>
      </c>
      <c r="J41" s="536"/>
      <c r="K41" s="536"/>
      <c r="L41" s="534"/>
      <c r="M41" s="514"/>
      <c r="O41" s="537">
        <f t="shared" si="0"/>
        <v>0</v>
      </c>
      <c r="AA41" s="540" t="s">
        <v>2397</v>
      </c>
      <c r="AB41" s="541">
        <v>1604500</v>
      </c>
    </row>
    <row r="42" spans="1:29" s="399" customFormat="1">
      <c r="A42" s="516" t="s">
        <v>2412</v>
      </c>
      <c r="B42" s="517" t="s">
        <v>174</v>
      </c>
      <c r="C42" s="426" t="s">
        <v>2283</v>
      </c>
      <c r="D42" s="405" t="s">
        <v>54</v>
      </c>
      <c r="E42" s="405" t="s">
        <v>33</v>
      </c>
      <c r="F42" s="518">
        <v>43874</v>
      </c>
      <c r="G42" s="518">
        <v>44168</v>
      </c>
      <c r="H42" s="518">
        <v>44238</v>
      </c>
      <c r="I42" s="513">
        <v>25789.52</v>
      </c>
      <c r="J42" s="536"/>
      <c r="K42" s="536"/>
      <c r="L42" s="534"/>
      <c r="M42" s="514"/>
      <c r="O42" s="537">
        <f t="shared" si="0"/>
        <v>0</v>
      </c>
      <c r="AA42" s="262" t="s">
        <v>2533</v>
      </c>
      <c r="AB42" s="255">
        <v>1040572.14</v>
      </c>
    </row>
    <row r="43" spans="1:29" s="399" customFormat="1">
      <c r="A43" s="516" t="s">
        <v>2413</v>
      </c>
      <c r="B43" s="517" t="s">
        <v>958</v>
      </c>
      <c r="C43" s="426" t="s">
        <v>2283</v>
      </c>
      <c r="D43" s="405" t="s">
        <v>54</v>
      </c>
      <c r="E43" s="405" t="s">
        <v>33</v>
      </c>
      <c r="F43" s="518">
        <v>43874</v>
      </c>
      <c r="G43" s="518">
        <v>44168</v>
      </c>
      <c r="H43" s="518">
        <v>44238</v>
      </c>
      <c r="I43" s="513">
        <v>7000</v>
      </c>
      <c r="J43" s="536"/>
      <c r="K43" s="536"/>
      <c r="L43" s="534"/>
      <c r="M43" s="514"/>
      <c r="O43" s="537">
        <f t="shared" si="0"/>
        <v>0</v>
      </c>
      <c r="AA43" s="540" t="s">
        <v>2401</v>
      </c>
      <c r="AB43" s="541">
        <v>4039245.0299999993</v>
      </c>
    </row>
    <row r="44" spans="1:29" s="399" customFormat="1">
      <c r="A44" s="516" t="s">
        <v>2414</v>
      </c>
      <c r="B44" s="517" t="s">
        <v>23</v>
      </c>
      <c r="C44" s="426" t="s">
        <v>2283</v>
      </c>
      <c r="D44" s="405" t="s">
        <v>54</v>
      </c>
      <c r="E44" s="405" t="s">
        <v>33</v>
      </c>
      <c r="F44" s="518">
        <v>43874</v>
      </c>
      <c r="G44" s="518">
        <v>44168</v>
      </c>
      <c r="H44" s="518">
        <v>44238</v>
      </c>
      <c r="I44" s="513">
        <v>54500</v>
      </c>
      <c r="J44" s="536">
        <f>SUM(I37:I44)</f>
        <v>1447916.5100000002</v>
      </c>
      <c r="K44" s="536">
        <v>721704</v>
      </c>
      <c r="L44" s="534">
        <f>+J44-K44</f>
        <v>726212.51000000024</v>
      </c>
      <c r="M44" s="514"/>
      <c r="O44" s="537">
        <f t="shared" si="0"/>
        <v>726212.51000000024</v>
      </c>
      <c r="AA44" s="540" t="s">
        <v>2406</v>
      </c>
      <c r="AB44" s="541">
        <v>1142464.43</v>
      </c>
    </row>
    <row r="45" spans="1:29" s="399" customFormat="1">
      <c r="A45" s="516" t="s">
        <v>2415</v>
      </c>
      <c r="B45" s="517" t="s">
        <v>174</v>
      </c>
      <c r="C45" s="426" t="s">
        <v>2416</v>
      </c>
      <c r="D45" s="405" t="s">
        <v>2326</v>
      </c>
      <c r="E45" s="405" t="s">
        <v>33</v>
      </c>
      <c r="F45" s="518">
        <v>44195</v>
      </c>
      <c r="G45" s="518">
        <v>44237</v>
      </c>
      <c r="H45" s="518">
        <v>44253</v>
      </c>
      <c r="I45" s="513">
        <v>704195.86</v>
      </c>
      <c r="J45" s="536"/>
      <c r="K45" s="536"/>
      <c r="L45" s="534"/>
      <c r="M45" s="514"/>
      <c r="O45" s="537">
        <f t="shared" si="0"/>
        <v>0</v>
      </c>
      <c r="AA45" s="262" t="s">
        <v>59</v>
      </c>
      <c r="AB45" s="255">
        <v>6660189.1599999992</v>
      </c>
    </row>
    <row r="46" spans="1:29" s="399" customFormat="1">
      <c r="A46" s="516" t="s">
        <v>2417</v>
      </c>
      <c r="B46" s="517" t="s">
        <v>23</v>
      </c>
      <c r="C46" s="426" t="s">
        <v>2416</v>
      </c>
      <c r="D46" s="405" t="s">
        <v>2326</v>
      </c>
      <c r="E46" s="405" t="s">
        <v>33</v>
      </c>
      <c r="F46" s="518">
        <v>44195</v>
      </c>
      <c r="G46" s="518">
        <v>44237</v>
      </c>
      <c r="H46" s="518">
        <v>44243</v>
      </c>
      <c r="I46" s="513">
        <v>60000</v>
      </c>
      <c r="J46" s="536">
        <f>+I46+I45</f>
        <v>764195.86</v>
      </c>
      <c r="K46" s="536">
        <v>721704</v>
      </c>
      <c r="L46" s="534">
        <f>J46-K46</f>
        <v>42491.859999999986</v>
      </c>
      <c r="M46" s="514"/>
      <c r="O46" s="537">
        <f t="shared" si="0"/>
        <v>42491.859999999986</v>
      </c>
      <c r="AA46" s="540" t="s">
        <v>2385</v>
      </c>
      <c r="AB46" s="541">
        <v>2626342.91</v>
      </c>
    </row>
    <row r="47" spans="1:29" s="399" customFormat="1">
      <c r="A47" s="516" t="s">
        <v>2551</v>
      </c>
      <c r="B47" s="517" t="s">
        <v>174</v>
      </c>
      <c r="C47" s="426" t="s">
        <v>2552</v>
      </c>
      <c r="D47" s="405" t="s">
        <v>2553</v>
      </c>
      <c r="E47" s="405" t="s">
        <v>33</v>
      </c>
      <c r="F47" s="518">
        <v>44014</v>
      </c>
      <c r="G47" s="518">
        <v>44603</v>
      </c>
      <c r="H47" s="518">
        <v>44650</v>
      </c>
      <c r="I47" s="513">
        <v>1853079.76</v>
      </c>
      <c r="J47" s="536">
        <f>+I47</f>
        <v>1853079.76</v>
      </c>
      <c r="K47" s="536">
        <v>721704</v>
      </c>
      <c r="L47" s="534">
        <f>+J47-K47</f>
        <v>1131375.76</v>
      </c>
      <c r="M47" s="514"/>
      <c r="O47" s="537">
        <f t="shared" si="0"/>
        <v>1131375.76</v>
      </c>
      <c r="AA47" s="540"/>
      <c r="AB47" s="541"/>
    </row>
    <row r="48" spans="1:29" s="399" customFormat="1">
      <c r="A48" s="516" t="s">
        <v>2310</v>
      </c>
      <c r="B48" s="517" t="s">
        <v>174</v>
      </c>
      <c r="C48" s="426" t="s">
        <v>2321</v>
      </c>
      <c r="D48" s="405" t="s">
        <v>2531</v>
      </c>
      <c r="E48" s="405" t="s">
        <v>33</v>
      </c>
      <c r="F48" s="518">
        <v>43881</v>
      </c>
      <c r="G48" s="518">
        <v>44021</v>
      </c>
      <c r="H48" s="518">
        <v>44055</v>
      </c>
      <c r="I48" s="513">
        <v>1310000</v>
      </c>
      <c r="J48" s="536"/>
      <c r="K48" s="536"/>
      <c r="L48" s="534"/>
      <c r="M48" s="514"/>
      <c r="O48" s="537">
        <f t="shared" si="0"/>
        <v>0</v>
      </c>
      <c r="AA48" s="540" t="s">
        <v>2386</v>
      </c>
      <c r="AB48" s="541">
        <v>855000</v>
      </c>
    </row>
    <row r="49" spans="1:28" s="399" customFormat="1">
      <c r="A49" s="516" t="s">
        <v>2311</v>
      </c>
      <c r="B49" s="517" t="s">
        <v>23</v>
      </c>
      <c r="C49" s="426" t="s">
        <v>2321</v>
      </c>
      <c r="D49" s="405" t="s">
        <v>2531</v>
      </c>
      <c r="E49" s="405" t="s">
        <v>33</v>
      </c>
      <c r="F49" s="518">
        <v>43881</v>
      </c>
      <c r="G49" s="518">
        <v>44021</v>
      </c>
      <c r="H49" s="518">
        <v>44049</v>
      </c>
      <c r="I49" s="513">
        <v>165000</v>
      </c>
      <c r="J49" s="536">
        <f>SUM(I48:I49)</f>
        <v>1475000</v>
      </c>
      <c r="K49" s="536">
        <v>721704</v>
      </c>
      <c r="L49" s="534">
        <f>J49-K49</f>
        <v>753296</v>
      </c>
      <c r="M49" s="514"/>
      <c r="O49" s="537">
        <f t="shared" si="0"/>
        <v>753296</v>
      </c>
      <c r="AA49" s="538" t="s">
        <v>1066</v>
      </c>
      <c r="AB49" s="539">
        <f>SUM(AB21:AB48)</f>
        <v>61080542.249999985</v>
      </c>
    </row>
    <row r="50" spans="1:28" s="399" customFormat="1" ht="12">
      <c r="A50" s="516" t="s">
        <v>2312</v>
      </c>
      <c r="B50" s="517" t="s">
        <v>30</v>
      </c>
      <c r="C50" s="426" t="s">
        <v>2322</v>
      </c>
      <c r="D50" s="405" t="s">
        <v>2326</v>
      </c>
      <c r="E50" s="405" t="s">
        <v>33</v>
      </c>
      <c r="F50" s="518">
        <v>44017</v>
      </c>
      <c r="G50" s="518">
        <v>44042</v>
      </c>
      <c r="H50" s="518">
        <v>44064</v>
      </c>
      <c r="I50" s="513">
        <v>104500</v>
      </c>
      <c r="J50" s="536"/>
      <c r="K50" s="536"/>
      <c r="L50" s="534"/>
      <c r="M50" s="514"/>
      <c r="O50" s="537">
        <f t="shared" si="0"/>
        <v>0</v>
      </c>
    </row>
    <row r="51" spans="1:28" s="399" customFormat="1" ht="12">
      <c r="A51" s="516" t="s">
        <v>2313</v>
      </c>
      <c r="B51" s="517" t="s">
        <v>174</v>
      </c>
      <c r="C51" s="426" t="s">
        <v>2322</v>
      </c>
      <c r="D51" s="405" t="s">
        <v>2326</v>
      </c>
      <c r="E51" s="405" t="s">
        <v>33</v>
      </c>
      <c r="F51" s="518">
        <v>44017</v>
      </c>
      <c r="G51" s="518">
        <v>44042</v>
      </c>
      <c r="H51" s="518">
        <v>44068</v>
      </c>
      <c r="I51" s="513">
        <v>1678501.69</v>
      </c>
      <c r="J51" s="536">
        <f>SUM(I50:I51)</f>
        <v>1783001.69</v>
      </c>
      <c r="K51" s="536">
        <v>721704</v>
      </c>
      <c r="L51" s="534">
        <f>J51-K51</f>
        <v>1061297.69</v>
      </c>
      <c r="M51" s="514"/>
      <c r="O51" s="537">
        <f t="shared" si="0"/>
        <v>1061297.69</v>
      </c>
    </row>
    <row r="52" spans="1:28" s="399" customFormat="1" ht="12">
      <c r="A52" s="516" t="s">
        <v>2366</v>
      </c>
      <c r="B52" s="517" t="s">
        <v>174</v>
      </c>
      <c r="C52" s="426" t="s">
        <v>2380</v>
      </c>
      <c r="D52" s="405" t="s">
        <v>2334</v>
      </c>
      <c r="E52" s="405" t="s">
        <v>33</v>
      </c>
      <c r="F52" s="518">
        <v>44040</v>
      </c>
      <c r="G52" s="518">
        <v>44111</v>
      </c>
      <c r="H52" s="518">
        <v>44132</v>
      </c>
      <c r="I52" s="513">
        <v>392968.18</v>
      </c>
      <c r="J52" s="536"/>
      <c r="K52" s="536"/>
      <c r="L52" s="534"/>
      <c r="M52" s="514"/>
      <c r="O52" s="537">
        <f t="shared" si="0"/>
        <v>0</v>
      </c>
    </row>
    <row r="53" spans="1:28" s="399" customFormat="1" ht="12">
      <c r="A53" s="516" t="s">
        <v>2367</v>
      </c>
      <c r="B53" s="517" t="s">
        <v>23</v>
      </c>
      <c r="C53" s="426" t="s">
        <v>2380</v>
      </c>
      <c r="D53" s="405" t="s">
        <v>2334</v>
      </c>
      <c r="E53" s="405" t="s">
        <v>33</v>
      </c>
      <c r="F53" s="518">
        <v>44040</v>
      </c>
      <c r="G53" s="518">
        <v>44120</v>
      </c>
      <c r="H53" s="518">
        <v>44155</v>
      </c>
      <c r="I53" s="513">
        <v>52287.37</v>
      </c>
      <c r="J53" s="536"/>
      <c r="K53" s="536"/>
      <c r="L53" s="534"/>
      <c r="M53" s="514"/>
      <c r="O53" s="537">
        <f t="shared" si="0"/>
        <v>0</v>
      </c>
    </row>
    <row r="54" spans="1:28" s="399" customFormat="1" ht="12">
      <c r="A54" s="516" t="s">
        <v>2368</v>
      </c>
      <c r="B54" s="517" t="s">
        <v>174</v>
      </c>
      <c r="C54" s="426" t="s">
        <v>2380</v>
      </c>
      <c r="D54" s="405" t="s">
        <v>2334</v>
      </c>
      <c r="E54" s="405" t="s">
        <v>33</v>
      </c>
      <c r="F54" s="518">
        <v>44040</v>
      </c>
      <c r="G54" s="518">
        <v>44120</v>
      </c>
      <c r="H54" s="518">
        <v>44155</v>
      </c>
      <c r="I54" s="513">
        <v>450000</v>
      </c>
      <c r="J54" s="536">
        <f>SUM(I52:I54)</f>
        <v>895255.55</v>
      </c>
      <c r="K54" s="536">
        <v>721704</v>
      </c>
      <c r="L54" s="534">
        <f>J54-K54</f>
        <v>173551.55000000005</v>
      </c>
      <c r="M54" s="514"/>
      <c r="O54" s="537">
        <f t="shared" si="0"/>
        <v>173551.55000000005</v>
      </c>
    </row>
    <row r="55" spans="1:28" s="399" customFormat="1" ht="12">
      <c r="A55" s="516" t="s">
        <v>2418</v>
      </c>
      <c r="B55" s="517" t="s">
        <v>174</v>
      </c>
      <c r="C55" s="426" t="s">
        <v>2419</v>
      </c>
      <c r="D55" s="405" t="s">
        <v>38</v>
      </c>
      <c r="E55" s="405" t="s">
        <v>33</v>
      </c>
      <c r="F55" s="518">
        <v>44019</v>
      </c>
      <c r="G55" s="518">
        <v>44137</v>
      </c>
      <c r="H55" s="518">
        <v>44193</v>
      </c>
      <c r="I55" s="513">
        <v>1500000</v>
      </c>
      <c r="J55" s="536"/>
      <c r="K55" s="536"/>
      <c r="L55" s="534"/>
      <c r="M55" s="514"/>
      <c r="O55" s="537">
        <f t="shared" si="0"/>
        <v>0</v>
      </c>
    </row>
    <row r="56" spans="1:28" s="399" customFormat="1" ht="12">
      <c r="A56" s="516" t="s">
        <v>2420</v>
      </c>
      <c r="B56" s="517" t="s">
        <v>23</v>
      </c>
      <c r="C56" s="426" t="s">
        <v>2419</v>
      </c>
      <c r="D56" s="405" t="s">
        <v>38</v>
      </c>
      <c r="E56" s="405" t="s">
        <v>33</v>
      </c>
      <c r="F56" s="518">
        <v>44019</v>
      </c>
      <c r="G56" s="518">
        <v>44137</v>
      </c>
      <c r="H56" s="518">
        <v>44193</v>
      </c>
      <c r="I56" s="513">
        <v>104500</v>
      </c>
      <c r="J56" s="536">
        <f>SUM(I55:I56)</f>
        <v>1604500</v>
      </c>
      <c r="K56" s="536">
        <v>721704</v>
      </c>
      <c r="L56" s="534">
        <f>J56-K56</f>
        <v>882796</v>
      </c>
      <c r="M56" s="514"/>
      <c r="O56" s="537">
        <f t="shared" si="0"/>
        <v>882796</v>
      </c>
    </row>
    <row r="57" spans="1:28" s="399" customFormat="1" ht="12">
      <c r="A57" s="516" t="s">
        <v>2421</v>
      </c>
      <c r="B57" s="517" t="s">
        <v>174</v>
      </c>
      <c r="C57" s="426" t="s">
        <v>2422</v>
      </c>
      <c r="D57" s="405" t="s">
        <v>2326</v>
      </c>
      <c r="E57" s="405" t="s">
        <v>33</v>
      </c>
      <c r="F57" s="518">
        <v>44184</v>
      </c>
      <c r="G57" s="518">
        <v>44278</v>
      </c>
      <c r="H57" s="518">
        <v>44345</v>
      </c>
      <c r="I57" s="513">
        <v>860000</v>
      </c>
      <c r="J57" s="536"/>
      <c r="K57" s="536"/>
      <c r="L57" s="534"/>
      <c r="M57" s="514"/>
      <c r="O57" s="537">
        <f t="shared" si="0"/>
        <v>0</v>
      </c>
    </row>
    <row r="58" spans="1:28" s="399" customFormat="1" ht="12">
      <c r="A58" s="516" t="s">
        <v>2423</v>
      </c>
      <c r="B58" s="517" t="s">
        <v>23</v>
      </c>
      <c r="C58" s="426" t="s">
        <v>2422</v>
      </c>
      <c r="D58" s="405" t="s">
        <v>2326</v>
      </c>
      <c r="E58" s="405" t="s">
        <v>33</v>
      </c>
      <c r="F58" s="518">
        <v>44184</v>
      </c>
      <c r="G58" s="518">
        <v>44278</v>
      </c>
      <c r="H58" s="518">
        <v>44335</v>
      </c>
      <c r="I58" s="513">
        <v>165000</v>
      </c>
      <c r="J58" s="536">
        <f>SUM(I57:I58)</f>
        <v>1025000</v>
      </c>
      <c r="K58" s="536">
        <v>721704</v>
      </c>
      <c r="L58" s="534">
        <f>J58-K58</f>
        <v>303296</v>
      </c>
      <c r="M58" s="514"/>
      <c r="O58" s="537">
        <f t="shared" si="0"/>
        <v>303296</v>
      </c>
    </row>
    <row r="59" spans="1:28" s="399" customFormat="1" ht="12">
      <c r="A59" s="516" t="s">
        <v>2424</v>
      </c>
      <c r="B59" s="517" t="s">
        <v>174</v>
      </c>
      <c r="C59" s="426" t="s">
        <v>2425</v>
      </c>
      <c r="D59" s="405" t="s">
        <v>59</v>
      </c>
      <c r="E59" s="405" t="s">
        <v>33</v>
      </c>
      <c r="F59" s="518">
        <v>44164</v>
      </c>
      <c r="G59" s="518">
        <v>44194</v>
      </c>
      <c r="H59" s="518">
        <v>44211</v>
      </c>
      <c r="I59" s="513">
        <v>105000</v>
      </c>
      <c r="J59" s="536"/>
      <c r="K59" s="536"/>
      <c r="L59" s="534"/>
      <c r="M59" s="514"/>
      <c r="O59" s="537">
        <f t="shared" si="0"/>
        <v>0</v>
      </c>
    </row>
    <row r="60" spans="1:28" s="399" customFormat="1" ht="12">
      <c r="A60" s="516" t="s">
        <v>2426</v>
      </c>
      <c r="B60" s="517" t="s">
        <v>174</v>
      </c>
      <c r="C60" s="426" t="s">
        <v>2425</v>
      </c>
      <c r="D60" s="405" t="s">
        <v>84</v>
      </c>
      <c r="E60" s="405" t="s">
        <v>33</v>
      </c>
      <c r="F60" s="518">
        <v>44164</v>
      </c>
      <c r="G60" s="518">
        <v>44204</v>
      </c>
      <c r="H60" s="518">
        <v>44264</v>
      </c>
      <c r="I60" s="513">
        <v>927000</v>
      </c>
      <c r="J60" s="536"/>
      <c r="K60" s="536"/>
      <c r="L60" s="534"/>
      <c r="M60" s="514"/>
      <c r="O60" s="537">
        <f t="shared" si="0"/>
        <v>0</v>
      </c>
    </row>
    <row r="61" spans="1:28" s="399" customFormat="1" ht="12">
      <c r="A61" s="516" t="s">
        <v>2427</v>
      </c>
      <c r="B61" s="517" t="s">
        <v>23</v>
      </c>
      <c r="C61" s="426" t="s">
        <v>2425</v>
      </c>
      <c r="D61" s="405" t="s">
        <v>84</v>
      </c>
      <c r="E61" s="405" t="s">
        <v>33</v>
      </c>
      <c r="F61" s="518">
        <v>44164</v>
      </c>
      <c r="G61" s="518">
        <v>44204</v>
      </c>
      <c r="H61" s="518">
        <v>44253</v>
      </c>
      <c r="I61" s="513">
        <v>165000</v>
      </c>
      <c r="J61" s="536">
        <f>SUM(I59:I61)</f>
        <v>1197000</v>
      </c>
      <c r="K61" s="536">
        <v>721704</v>
      </c>
      <c r="L61" s="534">
        <f>J61-K61</f>
        <v>475296</v>
      </c>
      <c r="M61" s="514"/>
      <c r="O61" s="537">
        <f t="shared" si="0"/>
        <v>475296</v>
      </c>
    </row>
    <row r="62" spans="1:28" s="399" customFormat="1" ht="12">
      <c r="A62" s="516" t="s">
        <v>2314</v>
      </c>
      <c r="B62" s="517" t="s">
        <v>174</v>
      </c>
      <c r="C62" s="426" t="s">
        <v>2323</v>
      </c>
      <c r="D62" s="405" t="s">
        <v>2326</v>
      </c>
      <c r="E62" s="405" t="s">
        <v>33</v>
      </c>
      <c r="F62" s="518">
        <v>43981</v>
      </c>
      <c r="G62" s="518">
        <v>44015</v>
      </c>
      <c r="H62" s="518">
        <v>44068</v>
      </c>
      <c r="I62" s="513">
        <v>883971.02</v>
      </c>
      <c r="J62" s="536"/>
      <c r="K62" s="536"/>
      <c r="L62" s="534"/>
      <c r="M62" s="514"/>
      <c r="O62" s="537">
        <f t="shared" si="0"/>
        <v>0</v>
      </c>
    </row>
    <row r="63" spans="1:28" s="399" customFormat="1" ht="12">
      <c r="A63" s="516" t="s">
        <v>2315</v>
      </c>
      <c r="B63" s="517" t="s">
        <v>23</v>
      </c>
      <c r="C63" s="426" t="s">
        <v>2323</v>
      </c>
      <c r="D63" s="405" t="s">
        <v>2326</v>
      </c>
      <c r="E63" s="405" t="s">
        <v>33</v>
      </c>
      <c r="F63" s="518">
        <v>43981</v>
      </c>
      <c r="G63" s="518">
        <v>44014</v>
      </c>
      <c r="H63" s="518">
        <v>44060</v>
      </c>
      <c r="I63" s="513">
        <v>137179.71</v>
      </c>
      <c r="J63" s="536">
        <f>SUM(I62:I63)</f>
        <v>1021150.73</v>
      </c>
      <c r="K63" s="536">
        <v>721704</v>
      </c>
      <c r="L63" s="534">
        <f>J63-K63</f>
        <v>299446.73</v>
      </c>
      <c r="M63" s="514"/>
      <c r="O63" s="537">
        <f t="shared" si="0"/>
        <v>299446.73</v>
      </c>
    </row>
    <row r="64" spans="1:28" s="399" customFormat="1" ht="12">
      <c r="A64" s="516" t="s">
        <v>2300</v>
      </c>
      <c r="B64" s="517" t="s">
        <v>174</v>
      </c>
      <c r="C64" s="426" t="s">
        <v>2302</v>
      </c>
      <c r="D64" s="405" t="s">
        <v>230</v>
      </c>
      <c r="E64" s="405" t="s">
        <v>26</v>
      </c>
      <c r="F64" s="518">
        <v>43857</v>
      </c>
      <c r="G64" s="518">
        <v>44015</v>
      </c>
      <c r="H64" s="518">
        <v>44035</v>
      </c>
      <c r="I64" s="513">
        <v>678000</v>
      </c>
      <c r="J64" s="536"/>
      <c r="K64" s="536"/>
      <c r="L64" s="534"/>
      <c r="M64" s="514"/>
      <c r="O64" s="537">
        <f t="shared" si="0"/>
        <v>0</v>
      </c>
    </row>
    <row r="65" spans="1:15" s="399" customFormat="1" ht="12">
      <c r="A65" s="516" t="s">
        <v>2301</v>
      </c>
      <c r="B65" s="517" t="s">
        <v>23</v>
      </c>
      <c r="C65" s="426" t="s">
        <v>2302</v>
      </c>
      <c r="D65" s="405" t="s">
        <v>230</v>
      </c>
      <c r="E65" s="405" t="s">
        <v>26</v>
      </c>
      <c r="F65" s="518">
        <v>43857</v>
      </c>
      <c r="G65" s="518">
        <v>44015</v>
      </c>
      <c r="H65" s="518">
        <v>44028</v>
      </c>
      <c r="I65" s="513">
        <v>315000</v>
      </c>
      <c r="J65" s="536">
        <f>SUM(I64:I65)</f>
        <v>993000</v>
      </c>
      <c r="K65" s="536">
        <v>721704</v>
      </c>
      <c r="L65" s="534">
        <f>J65-K65</f>
        <v>271296</v>
      </c>
      <c r="M65" s="514"/>
      <c r="O65" s="537">
        <f t="shared" si="0"/>
        <v>271296</v>
      </c>
    </row>
    <row r="66" spans="1:15" s="399" customFormat="1" ht="12">
      <c r="A66" s="516" t="s">
        <v>2428</v>
      </c>
      <c r="B66" s="517" t="s">
        <v>1985</v>
      </c>
      <c r="C66" s="426" t="s">
        <v>2429</v>
      </c>
      <c r="D66" s="405" t="s">
        <v>69</v>
      </c>
      <c r="E66" s="405" t="s">
        <v>33</v>
      </c>
      <c r="F66" s="518">
        <v>44105</v>
      </c>
      <c r="G66" s="518">
        <v>44158</v>
      </c>
      <c r="H66" s="518">
        <v>44168</v>
      </c>
      <c r="I66" s="513">
        <v>330000</v>
      </c>
      <c r="J66" s="536"/>
      <c r="K66" s="536"/>
      <c r="L66" s="534"/>
      <c r="M66" s="514"/>
      <c r="O66" s="537">
        <f t="shared" si="0"/>
        <v>0</v>
      </c>
    </row>
    <row r="67" spans="1:15" s="399" customFormat="1" ht="12">
      <c r="A67" s="516" t="s">
        <v>2430</v>
      </c>
      <c r="B67" s="517" t="s">
        <v>23</v>
      </c>
      <c r="C67" s="426" t="s">
        <v>2429</v>
      </c>
      <c r="D67" s="405" t="s">
        <v>69</v>
      </c>
      <c r="E67" s="405" t="s">
        <v>33</v>
      </c>
      <c r="F67" s="518">
        <v>44105</v>
      </c>
      <c r="G67" s="518">
        <v>44145</v>
      </c>
      <c r="H67" s="518">
        <v>44161</v>
      </c>
      <c r="I67" s="513">
        <v>8022.74</v>
      </c>
      <c r="J67" s="536"/>
      <c r="K67" s="536"/>
      <c r="L67" s="534"/>
      <c r="M67" s="514"/>
      <c r="O67" s="537">
        <f t="shared" si="0"/>
        <v>0</v>
      </c>
    </row>
    <row r="68" spans="1:15" s="399" customFormat="1" ht="12">
      <c r="A68" s="516" t="s">
        <v>2431</v>
      </c>
      <c r="B68" s="517" t="s">
        <v>23</v>
      </c>
      <c r="C68" s="426" t="s">
        <v>2429</v>
      </c>
      <c r="D68" s="405" t="s">
        <v>69</v>
      </c>
      <c r="E68" s="405" t="s">
        <v>33</v>
      </c>
      <c r="F68" s="518">
        <v>44105</v>
      </c>
      <c r="G68" s="518">
        <v>44120</v>
      </c>
      <c r="H68" s="518">
        <v>44162</v>
      </c>
      <c r="I68" s="513">
        <v>46648.79</v>
      </c>
      <c r="J68" s="536"/>
      <c r="K68" s="536"/>
      <c r="L68" s="534"/>
      <c r="M68" s="514"/>
      <c r="O68" s="537">
        <f t="shared" si="0"/>
        <v>0</v>
      </c>
    </row>
    <row r="69" spans="1:15" s="399" customFormat="1" ht="12">
      <c r="A69" s="516" t="s">
        <v>2432</v>
      </c>
      <c r="B69" s="517" t="s">
        <v>174</v>
      </c>
      <c r="C69" s="426" t="s">
        <v>2429</v>
      </c>
      <c r="D69" s="405" t="s">
        <v>69</v>
      </c>
      <c r="E69" s="405" t="s">
        <v>33</v>
      </c>
      <c r="F69" s="518">
        <v>44105</v>
      </c>
      <c r="G69" s="518">
        <v>44123</v>
      </c>
      <c r="H69" s="518">
        <v>44162</v>
      </c>
      <c r="I69" s="513">
        <v>370978.3</v>
      </c>
      <c r="J69" s="536">
        <f>SUM(I66:I69)</f>
        <v>755649.83</v>
      </c>
      <c r="K69" s="536">
        <v>721704</v>
      </c>
      <c r="L69" s="534">
        <f>J69-K69</f>
        <v>33945.829999999958</v>
      </c>
      <c r="M69" s="514"/>
      <c r="O69" s="537">
        <f t="shared" si="0"/>
        <v>33945.829999999958</v>
      </c>
    </row>
    <row r="70" spans="1:15" s="399" customFormat="1" ht="12">
      <c r="A70" s="516" t="s">
        <v>2318</v>
      </c>
      <c r="B70" s="517" t="s">
        <v>174</v>
      </c>
      <c r="C70" s="426" t="s">
        <v>2325</v>
      </c>
      <c r="D70" s="405" t="s">
        <v>2533</v>
      </c>
      <c r="E70" s="405" t="s">
        <v>33</v>
      </c>
      <c r="F70" s="518">
        <v>43896</v>
      </c>
      <c r="G70" s="518">
        <v>44054</v>
      </c>
      <c r="H70" s="518">
        <v>44068</v>
      </c>
      <c r="I70" s="513">
        <v>909841.81</v>
      </c>
      <c r="J70" s="536"/>
      <c r="K70" s="536"/>
      <c r="L70" s="534"/>
      <c r="M70" s="514"/>
      <c r="O70" s="537">
        <f t="shared" si="0"/>
        <v>0</v>
      </c>
    </row>
    <row r="71" spans="1:15" s="399" customFormat="1" ht="12">
      <c r="A71" s="516" t="s">
        <v>2359</v>
      </c>
      <c r="B71" s="517" t="s">
        <v>30</v>
      </c>
      <c r="C71" s="426" t="s">
        <v>2325</v>
      </c>
      <c r="D71" s="405" t="s">
        <v>2533</v>
      </c>
      <c r="E71" s="405" t="s">
        <v>33</v>
      </c>
      <c r="F71" s="518">
        <v>43896</v>
      </c>
      <c r="G71" s="518">
        <v>44048</v>
      </c>
      <c r="H71" s="518">
        <v>44116</v>
      </c>
      <c r="I71" s="513">
        <v>50912.97</v>
      </c>
      <c r="J71" s="536"/>
      <c r="K71" s="536"/>
      <c r="L71" s="534"/>
      <c r="M71" s="514"/>
      <c r="O71" s="537">
        <f t="shared" si="0"/>
        <v>0</v>
      </c>
    </row>
    <row r="72" spans="1:15" s="399" customFormat="1" ht="12">
      <c r="A72" s="516" t="s">
        <v>2360</v>
      </c>
      <c r="B72" s="517" t="s">
        <v>174</v>
      </c>
      <c r="C72" s="426" t="s">
        <v>2325</v>
      </c>
      <c r="D72" s="405" t="s">
        <v>2533</v>
      </c>
      <c r="E72" s="405" t="s">
        <v>33</v>
      </c>
      <c r="F72" s="518">
        <v>43896</v>
      </c>
      <c r="G72" s="518">
        <v>44048</v>
      </c>
      <c r="H72" s="518">
        <v>44116</v>
      </c>
      <c r="I72" s="513">
        <v>79817.36</v>
      </c>
      <c r="J72" s="536">
        <f>SUM(I70:I72)</f>
        <v>1040572.14</v>
      </c>
      <c r="K72" s="536">
        <v>721704</v>
      </c>
      <c r="L72" s="534">
        <f>J72-K72</f>
        <v>318868.14</v>
      </c>
      <c r="M72" s="514"/>
      <c r="O72" s="537">
        <f t="shared" si="0"/>
        <v>318868.14</v>
      </c>
    </row>
    <row r="73" spans="1:15" s="399" customFormat="1" ht="12">
      <c r="A73" s="516" t="s">
        <v>2433</v>
      </c>
      <c r="B73" s="517" t="s">
        <v>23</v>
      </c>
      <c r="C73" s="426" t="s">
        <v>2434</v>
      </c>
      <c r="D73" s="405" t="s">
        <v>2326</v>
      </c>
      <c r="E73" s="405" t="s">
        <v>33</v>
      </c>
      <c r="F73" s="518">
        <v>44023</v>
      </c>
      <c r="G73" s="518">
        <v>44057</v>
      </c>
      <c r="H73" s="518">
        <v>44076</v>
      </c>
      <c r="I73" s="513">
        <v>129860.88</v>
      </c>
      <c r="J73" s="536"/>
      <c r="K73" s="536"/>
      <c r="L73" s="534"/>
      <c r="M73" s="514"/>
      <c r="O73" s="537">
        <f t="shared" si="0"/>
        <v>0</v>
      </c>
    </row>
    <row r="74" spans="1:15" s="399" customFormat="1" ht="12">
      <c r="A74" s="516" t="s">
        <v>2435</v>
      </c>
      <c r="B74" s="517" t="s">
        <v>174</v>
      </c>
      <c r="C74" s="426" t="s">
        <v>2434</v>
      </c>
      <c r="D74" s="405" t="s">
        <v>2326</v>
      </c>
      <c r="E74" s="405" t="s">
        <v>33</v>
      </c>
      <c r="F74" s="518">
        <v>44023</v>
      </c>
      <c r="G74" s="518">
        <v>44057</v>
      </c>
      <c r="H74" s="518">
        <v>44193</v>
      </c>
      <c r="I74" s="513">
        <v>966000</v>
      </c>
      <c r="J74" s="536">
        <f>SUM(I73:I74)</f>
        <v>1095860.8799999999</v>
      </c>
      <c r="K74" s="536">
        <v>721704</v>
      </c>
      <c r="L74" s="534">
        <f>J74-K74</f>
        <v>374156.87999999989</v>
      </c>
      <c r="M74" s="514"/>
      <c r="O74" s="537">
        <f t="shared" si="0"/>
        <v>374156.87999999989</v>
      </c>
    </row>
    <row r="75" spans="1:15" s="399" customFormat="1" ht="12">
      <c r="A75" s="516" t="s">
        <v>2436</v>
      </c>
      <c r="B75" s="517" t="s">
        <v>174</v>
      </c>
      <c r="C75" s="426" t="s">
        <v>2437</v>
      </c>
      <c r="D75" s="405" t="s">
        <v>38</v>
      </c>
      <c r="E75" s="405" t="s">
        <v>33</v>
      </c>
      <c r="F75" s="518">
        <v>44143</v>
      </c>
      <c r="G75" s="518">
        <v>44174</v>
      </c>
      <c r="H75" s="518">
        <v>44225</v>
      </c>
      <c r="I75" s="513">
        <v>987191.91</v>
      </c>
      <c r="J75" s="536"/>
      <c r="K75" s="536"/>
      <c r="L75" s="534"/>
      <c r="M75" s="514"/>
      <c r="O75" s="537">
        <f t="shared" si="0"/>
        <v>0</v>
      </c>
    </row>
    <row r="76" spans="1:15" s="399" customFormat="1" ht="12">
      <c r="A76" s="516" t="s">
        <v>2438</v>
      </c>
      <c r="B76" s="517" t="s">
        <v>1900</v>
      </c>
      <c r="C76" s="426" t="s">
        <v>2437</v>
      </c>
      <c r="D76" s="405" t="s">
        <v>38</v>
      </c>
      <c r="E76" s="405" t="s">
        <v>33</v>
      </c>
      <c r="F76" s="518">
        <v>44143</v>
      </c>
      <c r="G76" s="518">
        <v>44187</v>
      </c>
      <c r="H76" s="518">
        <v>44221</v>
      </c>
      <c r="I76" s="513">
        <v>172000</v>
      </c>
      <c r="J76" s="536"/>
      <c r="K76" s="536"/>
      <c r="L76" s="534"/>
      <c r="M76" s="514"/>
      <c r="O76" s="537">
        <f t="shared" ref="O76:O141" si="1">IF($J76&gt;P$8,$J76-P$8,0)</f>
        <v>0</v>
      </c>
    </row>
    <row r="77" spans="1:15" s="399" customFormat="1" ht="12">
      <c r="A77" s="516" t="s">
        <v>2439</v>
      </c>
      <c r="B77" s="517" t="s">
        <v>23</v>
      </c>
      <c r="C77" s="426" t="s">
        <v>2437</v>
      </c>
      <c r="D77" s="405" t="s">
        <v>38</v>
      </c>
      <c r="E77" s="405" t="s">
        <v>33</v>
      </c>
      <c r="F77" s="518">
        <v>44143</v>
      </c>
      <c r="G77" s="518">
        <v>44174</v>
      </c>
      <c r="H77" s="518">
        <v>44225</v>
      </c>
      <c r="I77" s="513">
        <v>104500</v>
      </c>
      <c r="J77" s="536">
        <f>SUM(I75:I77)</f>
        <v>1263691.9100000001</v>
      </c>
      <c r="K77" s="536">
        <v>721704</v>
      </c>
      <c r="L77" s="534">
        <f>J77-K77</f>
        <v>541987.91000000015</v>
      </c>
      <c r="M77" s="514"/>
      <c r="O77" s="537">
        <f t="shared" si="1"/>
        <v>541987.91000000015</v>
      </c>
    </row>
    <row r="78" spans="1:15" s="399" customFormat="1" ht="12">
      <c r="A78" s="516" t="s">
        <v>2440</v>
      </c>
      <c r="B78" s="517" t="s">
        <v>174</v>
      </c>
      <c r="C78" s="426" t="s">
        <v>2441</v>
      </c>
      <c r="D78" s="405" t="s">
        <v>2442</v>
      </c>
      <c r="E78" s="405" t="s">
        <v>33</v>
      </c>
      <c r="F78" s="518">
        <v>44153</v>
      </c>
      <c r="G78" s="518">
        <v>44193</v>
      </c>
      <c r="H78" s="518">
        <v>44252</v>
      </c>
      <c r="I78" s="513">
        <v>810000</v>
      </c>
      <c r="J78" s="536"/>
      <c r="K78" s="536"/>
      <c r="L78" s="534"/>
      <c r="M78" s="514"/>
      <c r="O78" s="537">
        <f t="shared" si="1"/>
        <v>0</v>
      </c>
    </row>
    <row r="79" spans="1:15" s="399" customFormat="1" ht="12">
      <c r="A79" s="516" t="s">
        <v>2443</v>
      </c>
      <c r="B79" s="517" t="s">
        <v>23</v>
      </c>
      <c r="C79" s="426" t="s">
        <v>2441</v>
      </c>
      <c r="D79" s="405" t="s">
        <v>2442</v>
      </c>
      <c r="E79" s="405" t="s">
        <v>33</v>
      </c>
      <c r="F79" s="518">
        <v>44153</v>
      </c>
      <c r="G79" s="518">
        <v>44193</v>
      </c>
      <c r="H79" s="518">
        <v>44252</v>
      </c>
      <c r="I79" s="513">
        <v>165000</v>
      </c>
      <c r="J79" s="536">
        <f>+I79+I78</f>
        <v>975000</v>
      </c>
      <c r="K79" s="536">
        <v>721704</v>
      </c>
      <c r="L79" s="534">
        <f>J79-K79</f>
        <v>253296</v>
      </c>
      <c r="M79" s="514"/>
      <c r="O79" s="537">
        <f t="shared" si="1"/>
        <v>253296</v>
      </c>
    </row>
    <row r="80" spans="1:15" s="399" customFormat="1" ht="12">
      <c r="A80" s="516" t="s">
        <v>2444</v>
      </c>
      <c r="B80" s="517" t="s">
        <v>30</v>
      </c>
      <c r="C80" s="426" t="s">
        <v>2445</v>
      </c>
      <c r="D80" s="405" t="s">
        <v>2446</v>
      </c>
      <c r="E80" s="405" t="s">
        <v>33</v>
      </c>
      <c r="F80" s="518">
        <v>43876</v>
      </c>
      <c r="G80" s="518">
        <v>44158</v>
      </c>
      <c r="H80" s="518">
        <v>44218</v>
      </c>
      <c r="I80" s="513">
        <v>153000</v>
      </c>
      <c r="J80" s="536"/>
      <c r="K80" s="536"/>
      <c r="L80" s="534"/>
      <c r="M80" s="514"/>
      <c r="O80" s="537">
        <f t="shared" si="1"/>
        <v>0</v>
      </c>
    </row>
    <row r="81" spans="1:15" s="399" customFormat="1" ht="12">
      <c r="A81" s="516" t="s">
        <v>2447</v>
      </c>
      <c r="B81" s="517" t="s">
        <v>174</v>
      </c>
      <c r="C81" s="426" t="s">
        <v>2445</v>
      </c>
      <c r="D81" s="405" t="s">
        <v>2446</v>
      </c>
      <c r="E81" s="405" t="s">
        <v>33</v>
      </c>
      <c r="F81" s="518">
        <v>43876</v>
      </c>
      <c r="G81" s="518">
        <v>44158</v>
      </c>
      <c r="H81" s="518">
        <v>44218</v>
      </c>
      <c r="I81" s="513">
        <v>250000</v>
      </c>
      <c r="J81" s="536"/>
      <c r="K81" s="536"/>
      <c r="L81" s="534"/>
      <c r="M81" s="514"/>
      <c r="O81" s="537">
        <f t="shared" si="1"/>
        <v>0</v>
      </c>
    </row>
    <row r="82" spans="1:15" s="399" customFormat="1" ht="12">
      <c r="A82" s="516" t="s">
        <v>2448</v>
      </c>
      <c r="B82" s="517" t="s">
        <v>174</v>
      </c>
      <c r="C82" s="426" t="s">
        <v>2445</v>
      </c>
      <c r="D82" s="405" t="s">
        <v>2446</v>
      </c>
      <c r="E82" s="405" t="s">
        <v>33</v>
      </c>
      <c r="F82" s="518">
        <v>43876</v>
      </c>
      <c r="G82" s="518">
        <v>44210</v>
      </c>
      <c r="H82" s="518">
        <v>44218</v>
      </c>
      <c r="I82" s="513">
        <v>647633.55000000005</v>
      </c>
      <c r="J82" s="536">
        <f>SUM(I80:I82)</f>
        <v>1050633.55</v>
      </c>
      <c r="K82" s="536">
        <v>721704</v>
      </c>
      <c r="L82" s="534">
        <f>J82-K82</f>
        <v>328929.55000000005</v>
      </c>
      <c r="M82" s="514"/>
      <c r="O82" s="537">
        <f t="shared" si="1"/>
        <v>328929.55000000005</v>
      </c>
    </row>
    <row r="83" spans="1:15" s="399" customFormat="1" ht="12">
      <c r="A83" s="516" t="s">
        <v>2744</v>
      </c>
      <c r="B83" s="517" t="s">
        <v>174</v>
      </c>
      <c r="C83" s="426" t="s">
        <v>2746</v>
      </c>
      <c r="D83" s="405"/>
      <c r="E83" s="405"/>
      <c r="F83" s="518">
        <v>44119</v>
      </c>
      <c r="G83" s="518">
        <v>44119</v>
      </c>
      <c r="H83" s="518">
        <v>44802</v>
      </c>
      <c r="I83" s="513">
        <v>693300</v>
      </c>
      <c r="J83" s="536"/>
      <c r="K83" s="536"/>
      <c r="L83" s="534"/>
      <c r="M83" s="514"/>
      <c r="O83" s="537">
        <f t="shared" si="1"/>
        <v>0</v>
      </c>
    </row>
    <row r="84" spans="1:15" s="399" customFormat="1" ht="12">
      <c r="A84" s="516" t="s">
        <v>2745</v>
      </c>
      <c r="B84" s="517" t="s">
        <v>23</v>
      </c>
      <c r="C84" s="426" t="s">
        <v>2746</v>
      </c>
      <c r="D84" s="405"/>
      <c r="E84" s="405"/>
      <c r="F84" s="518">
        <v>44119</v>
      </c>
      <c r="G84" s="518">
        <v>44144</v>
      </c>
      <c r="H84" s="518">
        <v>44193</v>
      </c>
      <c r="I84" s="513">
        <v>62475.46</v>
      </c>
      <c r="J84" s="536">
        <f>+I84+I83</f>
        <v>755775.46</v>
      </c>
      <c r="K84" s="536">
        <v>721704</v>
      </c>
      <c r="L84" s="534">
        <f>+J84-K84</f>
        <v>34071.459999999963</v>
      </c>
      <c r="M84" s="514"/>
      <c r="O84" s="537">
        <f t="shared" si="1"/>
        <v>34071.459999999963</v>
      </c>
    </row>
    <row r="85" spans="1:15" s="399" customFormat="1" ht="12">
      <c r="A85" s="516" t="s">
        <v>2449</v>
      </c>
      <c r="B85" s="517" t="s">
        <v>1900</v>
      </c>
      <c r="C85" s="426" t="s">
        <v>2450</v>
      </c>
      <c r="D85" s="405" t="s">
        <v>2386</v>
      </c>
      <c r="E85" s="405" t="s">
        <v>33</v>
      </c>
      <c r="F85" s="518">
        <v>44157</v>
      </c>
      <c r="G85" s="518">
        <v>44187</v>
      </c>
      <c r="H85" s="518">
        <v>44249</v>
      </c>
      <c r="I85" s="513">
        <v>820000</v>
      </c>
      <c r="J85" s="536"/>
      <c r="K85" s="536"/>
      <c r="L85" s="534"/>
      <c r="M85" s="514"/>
      <c r="O85" s="537">
        <f t="shared" si="1"/>
        <v>0</v>
      </c>
    </row>
    <row r="86" spans="1:15" s="399" customFormat="1" ht="12">
      <c r="A86" s="516" t="s">
        <v>2451</v>
      </c>
      <c r="B86" s="517" t="s">
        <v>23</v>
      </c>
      <c r="C86" s="426" t="s">
        <v>2450</v>
      </c>
      <c r="D86" s="405" t="s">
        <v>2386</v>
      </c>
      <c r="E86" s="405" t="s">
        <v>33</v>
      </c>
      <c r="F86" s="518">
        <v>44157</v>
      </c>
      <c r="G86" s="518">
        <v>44188</v>
      </c>
      <c r="H86" s="518">
        <v>44249</v>
      </c>
      <c r="I86" s="513">
        <v>35000</v>
      </c>
      <c r="J86" s="536">
        <f>+I86+I85</f>
        <v>855000</v>
      </c>
      <c r="K86" s="536">
        <v>721704</v>
      </c>
      <c r="L86" s="534">
        <f>J86-K86</f>
        <v>133296</v>
      </c>
      <c r="M86" s="514"/>
      <c r="O86" s="537">
        <f t="shared" si="1"/>
        <v>133296</v>
      </c>
    </row>
    <row r="87" spans="1:15" s="399" customFormat="1" ht="12">
      <c r="A87" s="516" t="s">
        <v>2281</v>
      </c>
      <c r="B87" s="517" t="s">
        <v>174</v>
      </c>
      <c r="C87" s="426" t="s">
        <v>2284</v>
      </c>
      <c r="D87" s="405" t="s">
        <v>2291</v>
      </c>
      <c r="E87" s="405" t="s">
        <v>33</v>
      </c>
      <c r="F87" s="518">
        <v>43867</v>
      </c>
      <c r="G87" s="518">
        <v>43895</v>
      </c>
      <c r="H87" s="518">
        <v>43916</v>
      </c>
      <c r="I87" s="513">
        <v>496954.49</v>
      </c>
      <c r="J87" s="536"/>
      <c r="K87" s="536"/>
      <c r="L87" s="534"/>
      <c r="M87" s="514"/>
      <c r="O87" s="537">
        <f t="shared" si="1"/>
        <v>0</v>
      </c>
    </row>
    <row r="88" spans="1:15" s="399" customFormat="1" ht="12">
      <c r="A88" s="516" t="s">
        <v>2282</v>
      </c>
      <c r="B88" s="517" t="s">
        <v>23</v>
      </c>
      <c r="C88" s="426" t="s">
        <v>2284</v>
      </c>
      <c r="D88" s="405" t="s">
        <v>2291</v>
      </c>
      <c r="E88" s="405" t="s">
        <v>33</v>
      </c>
      <c r="F88" s="518">
        <v>43867</v>
      </c>
      <c r="G88" s="518">
        <v>43895</v>
      </c>
      <c r="H88" s="518">
        <v>43916</v>
      </c>
      <c r="I88" s="513">
        <v>307500</v>
      </c>
      <c r="J88" s="536">
        <f>SUM(I87:I88)</f>
        <v>804454.49</v>
      </c>
      <c r="K88" s="536">
        <v>721704</v>
      </c>
      <c r="L88" s="534">
        <f>J88-K88</f>
        <v>82750.489999999991</v>
      </c>
      <c r="M88" s="514"/>
      <c r="O88" s="537">
        <f t="shared" si="1"/>
        <v>82750.489999999991</v>
      </c>
    </row>
    <row r="89" spans="1:15" s="399" customFormat="1" ht="12">
      <c r="A89" s="516" t="s">
        <v>2346</v>
      </c>
      <c r="B89" s="517" t="s">
        <v>30</v>
      </c>
      <c r="C89" s="426" t="s">
        <v>2374</v>
      </c>
      <c r="D89" s="405" t="s">
        <v>2384</v>
      </c>
      <c r="E89" s="405" t="s">
        <v>33</v>
      </c>
      <c r="F89" s="518">
        <v>44000</v>
      </c>
      <c r="G89" s="518">
        <v>44073</v>
      </c>
      <c r="H89" s="518">
        <v>44091</v>
      </c>
      <c r="I89" s="513">
        <v>157500</v>
      </c>
      <c r="J89" s="536"/>
      <c r="K89" s="536"/>
      <c r="L89" s="534"/>
      <c r="M89" s="514"/>
      <c r="O89" s="537">
        <f t="shared" si="1"/>
        <v>0</v>
      </c>
    </row>
    <row r="90" spans="1:15" s="399" customFormat="1" ht="12">
      <c r="A90" s="516" t="s">
        <v>2347</v>
      </c>
      <c r="B90" s="517" t="s">
        <v>174</v>
      </c>
      <c r="C90" s="426" t="s">
        <v>2374</v>
      </c>
      <c r="D90" s="405" t="s">
        <v>2384</v>
      </c>
      <c r="E90" s="405" t="s">
        <v>33</v>
      </c>
      <c r="F90" s="518">
        <v>44000</v>
      </c>
      <c r="G90" s="518">
        <v>44073</v>
      </c>
      <c r="H90" s="518">
        <v>44091</v>
      </c>
      <c r="I90" s="513">
        <v>302647.58</v>
      </c>
      <c r="J90" s="536"/>
      <c r="K90" s="536"/>
      <c r="L90" s="534"/>
      <c r="M90" s="514"/>
      <c r="O90" s="537">
        <f t="shared" si="1"/>
        <v>0</v>
      </c>
    </row>
    <row r="91" spans="1:15" s="399" customFormat="1" ht="12">
      <c r="A91" s="516" t="s">
        <v>2348</v>
      </c>
      <c r="B91" s="517" t="s">
        <v>23</v>
      </c>
      <c r="C91" s="426" t="s">
        <v>2374</v>
      </c>
      <c r="D91" s="405" t="s">
        <v>2384</v>
      </c>
      <c r="E91" s="405" t="s">
        <v>33</v>
      </c>
      <c r="F91" s="518">
        <v>44000</v>
      </c>
      <c r="G91" s="518">
        <v>44103</v>
      </c>
      <c r="H91" s="518">
        <v>44116</v>
      </c>
      <c r="I91" s="513">
        <v>307500</v>
      </c>
      <c r="J91" s="536"/>
      <c r="K91" s="536"/>
      <c r="L91" s="534"/>
      <c r="M91" s="514"/>
      <c r="O91" s="537">
        <f t="shared" si="1"/>
        <v>0</v>
      </c>
    </row>
    <row r="92" spans="1:15" s="399" customFormat="1" ht="12">
      <c r="A92" s="516" t="s">
        <v>2349</v>
      </c>
      <c r="B92" s="517" t="s">
        <v>174</v>
      </c>
      <c r="C92" s="426" t="s">
        <v>2374</v>
      </c>
      <c r="D92" s="405" t="s">
        <v>2384</v>
      </c>
      <c r="E92" s="405" t="s">
        <v>33</v>
      </c>
      <c r="F92" s="518">
        <v>44000</v>
      </c>
      <c r="G92" s="518">
        <v>44110</v>
      </c>
      <c r="H92" s="518">
        <v>44116</v>
      </c>
      <c r="I92" s="513">
        <v>325115.2</v>
      </c>
      <c r="J92" s="536"/>
      <c r="K92" s="536"/>
      <c r="L92" s="534"/>
      <c r="M92" s="514"/>
      <c r="O92" s="537">
        <f t="shared" si="1"/>
        <v>0</v>
      </c>
    </row>
    <row r="93" spans="1:15" s="399" customFormat="1" ht="12">
      <c r="A93" s="516" t="s">
        <v>2350</v>
      </c>
      <c r="B93" s="517" t="s">
        <v>30</v>
      </c>
      <c r="C93" s="426" t="s">
        <v>2374</v>
      </c>
      <c r="D93" s="405" t="s">
        <v>2384</v>
      </c>
      <c r="E93" s="405" t="s">
        <v>33</v>
      </c>
      <c r="F93" s="518">
        <v>44000</v>
      </c>
      <c r="G93" s="518">
        <v>44128</v>
      </c>
      <c r="H93" s="518">
        <v>44133</v>
      </c>
      <c r="I93" s="513">
        <v>60078.28</v>
      </c>
      <c r="J93" s="545"/>
      <c r="K93" s="546"/>
      <c r="L93" s="546"/>
      <c r="M93" s="514"/>
      <c r="O93" s="537">
        <f t="shared" si="1"/>
        <v>0</v>
      </c>
    </row>
    <row r="94" spans="1:15" s="399" customFormat="1" ht="12">
      <c r="A94" s="516" t="s">
        <v>2452</v>
      </c>
      <c r="B94" s="517" t="s">
        <v>174</v>
      </c>
      <c r="C94" s="426" t="s">
        <v>2374</v>
      </c>
      <c r="D94" s="405" t="s">
        <v>2384</v>
      </c>
      <c r="E94" s="405" t="s">
        <v>33</v>
      </c>
      <c r="F94" s="518">
        <v>44000</v>
      </c>
      <c r="G94" s="518">
        <v>44128</v>
      </c>
      <c r="H94" s="518">
        <v>44205</v>
      </c>
      <c r="I94" s="513">
        <f>100000+91114.43</f>
        <v>191114.43</v>
      </c>
      <c r="J94" s="536">
        <f>SUM(I89:I94)</f>
        <v>1343955.49</v>
      </c>
      <c r="K94" s="536">
        <v>721704</v>
      </c>
      <c r="L94" s="534">
        <f>J94-K94</f>
        <v>622251.49</v>
      </c>
      <c r="M94" s="514"/>
      <c r="O94" s="537">
        <f t="shared" si="1"/>
        <v>622251.49</v>
      </c>
    </row>
    <row r="95" spans="1:15" s="399" customFormat="1" ht="12">
      <c r="A95" s="516" t="s">
        <v>2453</v>
      </c>
      <c r="B95" s="517" t="s">
        <v>30</v>
      </c>
      <c r="C95" s="426" t="s">
        <v>2454</v>
      </c>
      <c r="D95" s="405" t="s">
        <v>2401</v>
      </c>
      <c r="E95" s="405" t="s">
        <v>33</v>
      </c>
      <c r="F95" s="518">
        <v>44125</v>
      </c>
      <c r="G95" s="518">
        <v>44217</v>
      </c>
      <c r="H95" s="518">
        <v>44238</v>
      </c>
      <c r="I95" s="513">
        <v>153000</v>
      </c>
      <c r="J95" s="547"/>
      <c r="K95" s="547"/>
      <c r="L95" s="547"/>
      <c r="M95" s="514"/>
      <c r="O95" s="537">
        <f t="shared" si="1"/>
        <v>0</v>
      </c>
    </row>
    <row r="96" spans="1:15" s="399" customFormat="1" ht="12">
      <c r="A96" s="516" t="s">
        <v>2455</v>
      </c>
      <c r="B96" s="517" t="s">
        <v>174</v>
      </c>
      <c r="C96" s="426" t="s">
        <v>2454</v>
      </c>
      <c r="D96" s="405" t="s">
        <v>2401</v>
      </c>
      <c r="E96" s="405" t="s">
        <v>33</v>
      </c>
      <c r="F96" s="518">
        <v>44125</v>
      </c>
      <c r="G96" s="518">
        <v>44217</v>
      </c>
      <c r="H96" s="518">
        <v>44238</v>
      </c>
      <c r="I96" s="513">
        <v>135944.57999999999</v>
      </c>
      <c r="J96" s="547"/>
      <c r="K96" s="547"/>
      <c r="L96" s="547"/>
      <c r="M96" s="514"/>
      <c r="O96" s="537">
        <f t="shared" si="1"/>
        <v>0</v>
      </c>
    </row>
    <row r="97" spans="1:15" s="399" customFormat="1" ht="12">
      <c r="A97" s="516" t="s">
        <v>2456</v>
      </c>
      <c r="B97" s="517" t="s">
        <v>174</v>
      </c>
      <c r="C97" s="426" t="s">
        <v>2454</v>
      </c>
      <c r="D97" s="405" t="s">
        <v>2401</v>
      </c>
      <c r="E97" s="405" t="s">
        <v>33</v>
      </c>
      <c r="F97" s="518">
        <v>44125</v>
      </c>
      <c r="G97" s="518">
        <v>44242</v>
      </c>
      <c r="H97" s="518">
        <v>44253</v>
      </c>
      <c r="I97" s="513">
        <f>545102.33+6000</f>
        <v>551102.32999999996</v>
      </c>
      <c r="J97" s="547">
        <f>SUM(I95:I97)</f>
        <v>840046.90999999992</v>
      </c>
      <c r="K97" s="547">
        <v>721704</v>
      </c>
      <c r="L97" s="547">
        <f>+J97-K97</f>
        <v>118342.90999999992</v>
      </c>
      <c r="M97" s="514"/>
      <c r="O97" s="537">
        <f t="shared" si="1"/>
        <v>118342.90999999992</v>
      </c>
    </row>
    <row r="98" spans="1:15" s="399" customFormat="1" ht="12">
      <c r="A98" s="516" t="s">
        <v>2457</v>
      </c>
      <c r="B98" s="517" t="s">
        <v>174</v>
      </c>
      <c r="C98" s="426" t="s">
        <v>2458</v>
      </c>
      <c r="D98" s="405" t="s">
        <v>84</v>
      </c>
      <c r="E98" s="405" t="s">
        <v>33</v>
      </c>
      <c r="F98" s="518">
        <v>43999</v>
      </c>
      <c r="G98" s="518">
        <v>44159</v>
      </c>
      <c r="H98" s="518">
        <v>44182</v>
      </c>
      <c r="I98" s="513">
        <v>724996.04</v>
      </c>
      <c r="J98" s="536">
        <f>+I98</f>
        <v>724996.04</v>
      </c>
      <c r="K98" s="536">
        <v>721704</v>
      </c>
      <c r="L98" s="534">
        <f>J98-K98</f>
        <v>3292.0400000000373</v>
      </c>
      <c r="M98" s="514"/>
      <c r="O98" s="537">
        <f t="shared" si="1"/>
        <v>3292.0400000000373</v>
      </c>
    </row>
    <row r="99" spans="1:15" s="399" customFormat="1" ht="12">
      <c r="A99" s="516" t="s">
        <v>2459</v>
      </c>
      <c r="B99" s="517" t="s">
        <v>174</v>
      </c>
      <c r="C99" s="426" t="s">
        <v>2460</v>
      </c>
      <c r="D99" s="405" t="s">
        <v>192</v>
      </c>
      <c r="E99" s="405" t="s">
        <v>33</v>
      </c>
      <c r="F99" s="518">
        <v>44178</v>
      </c>
      <c r="G99" s="518">
        <v>44204</v>
      </c>
      <c r="H99" s="518">
        <v>44272</v>
      </c>
      <c r="I99" s="513">
        <v>760000</v>
      </c>
      <c r="J99" s="536"/>
      <c r="K99" s="536"/>
      <c r="L99" s="534"/>
      <c r="M99" s="514"/>
      <c r="O99" s="537">
        <f t="shared" si="1"/>
        <v>0</v>
      </c>
    </row>
    <row r="100" spans="1:15" s="399" customFormat="1" ht="12">
      <c r="A100" s="516" t="s">
        <v>2461</v>
      </c>
      <c r="B100" s="517" t="s">
        <v>23</v>
      </c>
      <c r="C100" s="426" t="s">
        <v>2460</v>
      </c>
      <c r="D100" s="405" t="s">
        <v>192</v>
      </c>
      <c r="E100" s="405" t="s">
        <v>33</v>
      </c>
      <c r="F100" s="518">
        <v>44178</v>
      </c>
      <c r="G100" s="518">
        <v>44204</v>
      </c>
      <c r="H100" s="518">
        <v>44246</v>
      </c>
      <c r="I100" s="513">
        <v>56942.62</v>
      </c>
      <c r="J100" s="536">
        <f>SUM(I99:I100)</f>
        <v>816942.62</v>
      </c>
      <c r="K100" s="536">
        <v>721704</v>
      </c>
      <c r="L100" s="534">
        <f>J100-K100</f>
        <v>95238.62</v>
      </c>
      <c r="M100" s="514"/>
      <c r="O100" s="537">
        <f t="shared" si="1"/>
        <v>95238.62</v>
      </c>
    </row>
    <row r="101" spans="1:15" s="399" customFormat="1" ht="12">
      <c r="A101" s="516" t="s">
        <v>2539</v>
      </c>
      <c r="B101" s="517" t="s">
        <v>174</v>
      </c>
      <c r="C101" s="426" t="s">
        <v>2541</v>
      </c>
      <c r="D101" s="405" t="s">
        <v>2385</v>
      </c>
      <c r="E101" s="405" t="s">
        <v>33</v>
      </c>
      <c r="F101" s="518">
        <v>44114</v>
      </c>
      <c r="G101" s="518">
        <v>44144</v>
      </c>
      <c r="H101" s="518">
        <v>44329</v>
      </c>
      <c r="I101" s="513">
        <v>701262.47</v>
      </c>
      <c r="J101" s="536"/>
      <c r="K101" s="536"/>
      <c r="L101" s="534"/>
      <c r="M101" s="514"/>
      <c r="O101" s="537">
        <f t="shared" si="1"/>
        <v>0</v>
      </c>
    </row>
    <row r="102" spans="1:15" s="399" customFormat="1" ht="12">
      <c r="A102" s="516" t="s">
        <v>2540</v>
      </c>
      <c r="B102" s="517" t="s">
        <v>23</v>
      </c>
      <c r="C102" s="426" t="s">
        <v>2541</v>
      </c>
      <c r="D102" s="405" t="s">
        <v>2385</v>
      </c>
      <c r="E102" s="405" t="s">
        <v>33</v>
      </c>
      <c r="F102" s="518">
        <v>44114</v>
      </c>
      <c r="G102" s="518">
        <v>44144</v>
      </c>
      <c r="H102" s="518">
        <v>44218</v>
      </c>
      <c r="I102" s="513">
        <v>104221.91</v>
      </c>
      <c r="J102" s="536">
        <f>+I101+I102</f>
        <v>805484.38</v>
      </c>
      <c r="K102" s="536">
        <v>721704</v>
      </c>
      <c r="L102" s="534">
        <f>+J102-K102</f>
        <v>83780.38</v>
      </c>
      <c r="M102" s="514"/>
      <c r="O102" s="537">
        <f t="shared" si="1"/>
        <v>83780.38</v>
      </c>
    </row>
    <row r="103" spans="1:15" s="399" customFormat="1" ht="12">
      <c r="A103" s="516" t="s">
        <v>2361</v>
      </c>
      <c r="B103" s="517" t="s">
        <v>1917</v>
      </c>
      <c r="C103" s="426" t="s">
        <v>2378</v>
      </c>
      <c r="D103" s="405" t="s">
        <v>192</v>
      </c>
      <c r="E103" s="405" t="s">
        <v>33</v>
      </c>
      <c r="F103" s="518">
        <v>43982</v>
      </c>
      <c r="G103" s="518">
        <v>44060</v>
      </c>
      <c r="H103" s="518">
        <v>44112</v>
      </c>
      <c r="I103" s="513">
        <v>50000</v>
      </c>
      <c r="J103" s="536"/>
      <c r="K103" s="536"/>
      <c r="L103" s="534"/>
      <c r="M103" s="514"/>
      <c r="O103" s="537">
        <f t="shared" si="1"/>
        <v>0</v>
      </c>
    </row>
    <row r="104" spans="1:15" s="399" customFormat="1" ht="12">
      <c r="A104" s="516" t="s">
        <v>2362</v>
      </c>
      <c r="B104" s="517" t="s">
        <v>174</v>
      </c>
      <c r="C104" s="426" t="s">
        <v>2378</v>
      </c>
      <c r="D104" s="405" t="s">
        <v>192</v>
      </c>
      <c r="E104" s="405" t="s">
        <v>33</v>
      </c>
      <c r="F104" s="518">
        <v>43982</v>
      </c>
      <c r="G104" s="518">
        <v>44060</v>
      </c>
      <c r="H104" s="518">
        <v>44103</v>
      </c>
      <c r="I104" s="513">
        <v>705852.93</v>
      </c>
      <c r="J104" s="536"/>
      <c r="K104" s="536"/>
      <c r="L104" s="534"/>
      <c r="M104" s="514"/>
      <c r="O104" s="537">
        <f t="shared" si="1"/>
        <v>0</v>
      </c>
    </row>
    <row r="105" spans="1:15" s="399" customFormat="1" ht="12">
      <c r="A105" s="516" t="s">
        <v>2363</v>
      </c>
      <c r="B105" s="517" t="s">
        <v>23</v>
      </c>
      <c r="C105" s="426" t="s">
        <v>2378</v>
      </c>
      <c r="D105" s="405" t="s">
        <v>192</v>
      </c>
      <c r="E105" s="405" t="s">
        <v>33</v>
      </c>
      <c r="F105" s="518">
        <v>43982</v>
      </c>
      <c r="G105" s="518">
        <v>44060</v>
      </c>
      <c r="H105" s="518">
        <v>44113</v>
      </c>
      <c r="I105" s="513">
        <v>110000</v>
      </c>
      <c r="J105" s="536">
        <f>SUM(I103:I105)</f>
        <v>865852.93</v>
      </c>
      <c r="K105" s="536">
        <v>721704</v>
      </c>
      <c r="L105" s="534">
        <f>J105-K105</f>
        <v>144148.93000000005</v>
      </c>
      <c r="M105" s="514"/>
      <c r="O105" s="537">
        <f t="shared" si="1"/>
        <v>144148.93000000005</v>
      </c>
    </row>
    <row r="106" spans="1:15" s="399" customFormat="1" ht="12">
      <c r="A106" s="516" t="s">
        <v>2364</v>
      </c>
      <c r="B106" s="517" t="s">
        <v>174</v>
      </c>
      <c r="C106" s="426" t="s">
        <v>2379</v>
      </c>
      <c r="D106" s="405" t="s">
        <v>69</v>
      </c>
      <c r="E106" s="405" t="s">
        <v>33</v>
      </c>
      <c r="F106" s="518">
        <v>43932</v>
      </c>
      <c r="G106" s="518">
        <v>44099</v>
      </c>
      <c r="H106" s="518">
        <v>44162</v>
      </c>
      <c r="I106" s="513">
        <v>971451.44</v>
      </c>
      <c r="J106" s="536"/>
      <c r="K106" s="536"/>
      <c r="L106" s="534"/>
      <c r="M106" s="514"/>
      <c r="O106" s="537">
        <f t="shared" si="1"/>
        <v>0</v>
      </c>
    </row>
    <row r="107" spans="1:15" s="399" customFormat="1" ht="12">
      <c r="A107" s="516" t="s">
        <v>2365</v>
      </c>
      <c r="B107" s="517" t="s">
        <v>23</v>
      </c>
      <c r="C107" s="426" t="s">
        <v>2379</v>
      </c>
      <c r="D107" s="405" t="s">
        <v>69</v>
      </c>
      <c r="E107" s="405" t="s">
        <v>33</v>
      </c>
      <c r="F107" s="518">
        <v>43932</v>
      </c>
      <c r="G107" s="518">
        <v>44088</v>
      </c>
      <c r="H107" s="518">
        <v>44162</v>
      </c>
      <c r="I107" s="513">
        <v>104500</v>
      </c>
      <c r="J107" s="536">
        <f>SUM(I106:I107)</f>
        <v>1075951.44</v>
      </c>
      <c r="K107" s="536">
        <v>721704</v>
      </c>
      <c r="L107" s="534">
        <f>J107-K107</f>
        <v>354247.43999999994</v>
      </c>
      <c r="M107" s="514"/>
      <c r="O107" s="537">
        <f t="shared" si="1"/>
        <v>354247.43999999994</v>
      </c>
    </row>
    <row r="108" spans="1:15" s="399" customFormat="1" ht="12">
      <c r="A108" s="516" t="s">
        <v>2462</v>
      </c>
      <c r="B108" s="517" t="s">
        <v>93</v>
      </c>
      <c r="C108" s="426" t="s">
        <v>2463</v>
      </c>
      <c r="D108" s="405" t="s">
        <v>84</v>
      </c>
      <c r="E108" s="405" t="s">
        <v>33</v>
      </c>
      <c r="F108" s="518">
        <v>44149</v>
      </c>
      <c r="G108" s="518">
        <v>44260</v>
      </c>
      <c r="H108" s="518">
        <v>44299</v>
      </c>
      <c r="I108" s="513">
        <v>1010000</v>
      </c>
      <c r="J108" s="536"/>
      <c r="K108" s="536"/>
      <c r="L108" s="534"/>
      <c r="M108" s="514"/>
      <c r="O108" s="537">
        <f t="shared" si="1"/>
        <v>0</v>
      </c>
    </row>
    <row r="109" spans="1:15" s="399" customFormat="1" ht="12">
      <c r="A109" s="516" t="s">
        <v>2464</v>
      </c>
      <c r="B109" s="517" t="s">
        <v>1985</v>
      </c>
      <c r="C109" s="426" t="s">
        <v>2463</v>
      </c>
      <c r="D109" s="405" t="s">
        <v>84</v>
      </c>
      <c r="E109" s="405" t="s">
        <v>33</v>
      </c>
      <c r="F109" s="518">
        <v>44149</v>
      </c>
      <c r="G109" s="518">
        <v>44260</v>
      </c>
      <c r="H109" s="518">
        <v>44294</v>
      </c>
      <c r="I109" s="513">
        <v>550000</v>
      </c>
      <c r="J109" s="536"/>
      <c r="K109" s="536"/>
      <c r="L109" s="534"/>
      <c r="M109" s="514"/>
      <c r="O109" s="537">
        <f t="shared" si="1"/>
        <v>0</v>
      </c>
    </row>
    <row r="110" spans="1:15" s="399" customFormat="1" ht="12">
      <c r="A110" s="516" t="s">
        <v>2465</v>
      </c>
      <c r="B110" s="517" t="s">
        <v>174</v>
      </c>
      <c r="C110" s="426" t="s">
        <v>2463</v>
      </c>
      <c r="D110" s="405" t="s">
        <v>84</v>
      </c>
      <c r="E110" s="405" t="s">
        <v>33</v>
      </c>
      <c r="F110" s="518">
        <v>44149</v>
      </c>
      <c r="G110" s="518">
        <v>44260</v>
      </c>
      <c r="H110" s="518">
        <v>44285</v>
      </c>
      <c r="I110" s="513">
        <v>342885.91</v>
      </c>
      <c r="J110" s="536">
        <f>SUM(I108:I110)</f>
        <v>1902885.91</v>
      </c>
      <c r="K110" s="536">
        <v>721704</v>
      </c>
      <c r="L110" s="534">
        <f>J110-K110</f>
        <v>1181181.9099999999</v>
      </c>
      <c r="M110" s="514"/>
      <c r="O110" s="537">
        <f t="shared" si="1"/>
        <v>1181181.9099999999</v>
      </c>
    </row>
    <row r="111" spans="1:15" s="399" customFormat="1" ht="12">
      <c r="A111" s="516" t="s">
        <v>2554</v>
      </c>
      <c r="B111" s="517" t="s">
        <v>174</v>
      </c>
      <c r="C111" s="426" t="s">
        <v>2555</v>
      </c>
      <c r="D111" s="405" t="s">
        <v>84</v>
      </c>
      <c r="E111" s="405" t="s">
        <v>33</v>
      </c>
      <c r="F111" s="518">
        <v>43986</v>
      </c>
      <c r="G111" s="518">
        <v>44162</v>
      </c>
      <c r="H111" s="518">
        <v>44186</v>
      </c>
      <c r="I111" s="513">
        <v>990000</v>
      </c>
      <c r="J111" s="536"/>
      <c r="K111" s="536"/>
      <c r="L111" s="534"/>
      <c r="M111" s="514"/>
      <c r="O111" s="537">
        <f t="shared" si="1"/>
        <v>0</v>
      </c>
    </row>
    <row r="112" spans="1:15" s="399" customFormat="1" ht="12">
      <c r="A112" s="516" t="s">
        <v>2556</v>
      </c>
      <c r="B112" s="517" t="s">
        <v>23</v>
      </c>
      <c r="C112" s="426" t="s">
        <v>2555</v>
      </c>
      <c r="D112" s="405" t="s">
        <v>84</v>
      </c>
      <c r="E112" s="405" t="s">
        <v>33</v>
      </c>
      <c r="F112" s="518">
        <v>43986</v>
      </c>
      <c r="G112" s="518">
        <v>44162</v>
      </c>
      <c r="H112" s="518">
        <v>44133</v>
      </c>
      <c r="I112" s="513">
        <v>2040.94</v>
      </c>
      <c r="J112" s="536">
        <f>+I112+I111</f>
        <v>992040.94</v>
      </c>
      <c r="K112" s="536">
        <v>721704</v>
      </c>
      <c r="L112" s="534">
        <f>+J112-K112</f>
        <v>270336.93999999994</v>
      </c>
      <c r="M112" s="514"/>
      <c r="O112" s="537">
        <f t="shared" si="1"/>
        <v>270336.93999999994</v>
      </c>
    </row>
    <row r="113" spans="1:15" s="399" customFormat="1" ht="12">
      <c r="A113" s="516" t="s">
        <v>2466</v>
      </c>
      <c r="B113" s="517" t="s">
        <v>93</v>
      </c>
      <c r="C113" s="426" t="s">
        <v>2467</v>
      </c>
      <c r="D113" s="405" t="s">
        <v>2326</v>
      </c>
      <c r="E113" s="405" t="s">
        <v>33</v>
      </c>
      <c r="F113" s="518">
        <v>44126</v>
      </c>
      <c r="G113" s="518">
        <v>44167</v>
      </c>
      <c r="H113" s="518">
        <v>44225</v>
      </c>
      <c r="I113" s="513">
        <v>1010000</v>
      </c>
      <c r="J113" s="536">
        <f>+I113</f>
        <v>1010000</v>
      </c>
      <c r="K113" s="536">
        <v>721704</v>
      </c>
      <c r="L113" s="534">
        <f>J113-K113</f>
        <v>288296</v>
      </c>
      <c r="M113" s="514"/>
      <c r="O113" s="537">
        <f t="shared" si="1"/>
        <v>288296</v>
      </c>
    </row>
    <row r="114" spans="1:15" s="399" customFormat="1" ht="12">
      <c r="A114" s="516" t="s">
        <v>2369</v>
      </c>
      <c r="B114" s="517" t="s">
        <v>30</v>
      </c>
      <c r="C114" s="426" t="s">
        <v>2381</v>
      </c>
      <c r="D114" s="405" t="s">
        <v>2401</v>
      </c>
      <c r="E114" s="405" t="s">
        <v>33</v>
      </c>
      <c r="F114" s="518">
        <v>44007</v>
      </c>
      <c r="G114" s="518">
        <v>44075</v>
      </c>
      <c r="H114" s="518">
        <v>44083</v>
      </c>
      <c r="I114" s="513">
        <v>8685.9599999999991</v>
      </c>
      <c r="J114" s="536"/>
      <c r="K114" s="536"/>
      <c r="L114" s="534"/>
      <c r="M114" s="514"/>
      <c r="O114" s="537">
        <f t="shared" si="1"/>
        <v>0</v>
      </c>
    </row>
    <row r="115" spans="1:15" s="399" customFormat="1" ht="12">
      <c r="A115" s="516" t="s">
        <v>2370</v>
      </c>
      <c r="B115" s="517" t="s">
        <v>174</v>
      </c>
      <c r="C115" s="426" t="s">
        <v>2381</v>
      </c>
      <c r="D115" s="405" t="s">
        <v>2401</v>
      </c>
      <c r="E115" s="405" t="s">
        <v>33</v>
      </c>
      <c r="F115" s="518">
        <v>44007</v>
      </c>
      <c r="G115" s="518">
        <v>44102</v>
      </c>
      <c r="H115" s="518">
        <v>44159</v>
      </c>
      <c r="I115" s="513">
        <v>848398.22</v>
      </c>
      <c r="J115" s="536"/>
      <c r="K115" s="536"/>
      <c r="L115" s="534"/>
      <c r="M115" s="514"/>
      <c r="O115" s="537">
        <f t="shared" si="1"/>
        <v>0</v>
      </c>
    </row>
    <row r="116" spans="1:15" s="399" customFormat="1" ht="12">
      <c r="A116" s="516" t="s">
        <v>2371</v>
      </c>
      <c r="B116" s="517" t="s">
        <v>23</v>
      </c>
      <c r="C116" s="426" t="s">
        <v>2381</v>
      </c>
      <c r="D116" s="405" t="s">
        <v>2401</v>
      </c>
      <c r="E116" s="405" t="s">
        <v>33</v>
      </c>
      <c r="F116" s="518">
        <v>44007</v>
      </c>
      <c r="G116" s="518">
        <v>44102</v>
      </c>
      <c r="H116" s="518">
        <v>44159</v>
      </c>
      <c r="I116" s="513">
        <v>87500</v>
      </c>
      <c r="J116" s="536">
        <f>SUM(I114:I116)</f>
        <v>944584.17999999993</v>
      </c>
      <c r="K116" s="536">
        <v>721704</v>
      </c>
      <c r="L116" s="534">
        <f>J116-K116</f>
        <v>222880.17999999993</v>
      </c>
      <c r="M116" s="514"/>
      <c r="O116" s="537">
        <f t="shared" si="1"/>
        <v>222880.17999999993</v>
      </c>
    </row>
    <row r="117" spans="1:15" s="399" customFormat="1" ht="12">
      <c r="A117" s="516" t="s">
        <v>2303</v>
      </c>
      <c r="B117" s="517" t="s">
        <v>174</v>
      </c>
      <c r="C117" s="426" t="s">
        <v>2305</v>
      </c>
      <c r="D117" s="405" t="s">
        <v>2336</v>
      </c>
      <c r="E117" s="405" t="s">
        <v>33</v>
      </c>
      <c r="F117" s="518">
        <v>43981</v>
      </c>
      <c r="G117" s="518">
        <v>44025</v>
      </c>
      <c r="H117" s="518">
        <v>44041</v>
      </c>
      <c r="I117" s="513">
        <v>610000</v>
      </c>
      <c r="J117" s="536"/>
      <c r="K117" s="536"/>
      <c r="L117" s="534"/>
      <c r="M117" s="514"/>
      <c r="O117" s="537">
        <f t="shared" si="1"/>
        <v>0</v>
      </c>
    </row>
    <row r="118" spans="1:15" s="399" customFormat="1" ht="12">
      <c r="A118" s="516" t="s">
        <v>2304</v>
      </c>
      <c r="B118" s="517" t="s">
        <v>23</v>
      </c>
      <c r="C118" s="426" t="s">
        <v>2305</v>
      </c>
      <c r="D118" s="405" t="s">
        <v>2336</v>
      </c>
      <c r="E118" s="405" t="s">
        <v>33</v>
      </c>
      <c r="F118" s="518">
        <v>43981</v>
      </c>
      <c r="G118" s="518">
        <v>44025</v>
      </c>
      <c r="H118" s="518">
        <v>44041</v>
      </c>
      <c r="I118" s="513">
        <v>165000</v>
      </c>
      <c r="J118" s="536"/>
      <c r="K118" s="536"/>
      <c r="L118" s="534"/>
      <c r="M118" s="514"/>
      <c r="O118" s="537">
        <f t="shared" si="1"/>
        <v>0</v>
      </c>
    </row>
    <row r="119" spans="1:15" s="399" customFormat="1" ht="12">
      <c r="A119" s="516" t="s">
        <v>2331</v>
      </c>
      <c r="B119" s="517" t="s">
        <v>174</v>
      </c>
      <c r="C119" s="426" t="s">
        <v>2305</v>
      </c>
      <c r="D119" s="405" t="s">
        <v>2336</v>
      </c>
      <c r="E119" s="405" t="s">
        <v>33</v>
      </c>
      <c r="F119" s="518">
        <v>43981</v>
      </c>
      <c r="G119" s="518">
        <v>44035</v>
      </c>
      <c r="H119" s="518">
        <v>44069</v>
      </c>
      <c r="I119" s="513">
        <v>105000</v>
      </c>
      <c r="J119" s="536"/>
      <c r="K119" s="536"/>
      <c r="L119" s="534"/>
      <c r="M119" s="514"/>
      <c r="O119" s="537">
        <f t="shared" si="1"/>
        <v>0</v>
      </c>
    </row>
    <row r="120" spans="1:15" s="399" customFormat="1" ht="12">
      <c r="A120" s="516" t="s">
        <v>2332</v>
      </c>
      <c r="B120" s="517" t="s">
        <v>23</v>
      </c>
      <c r="C120" s="426" t="s">
        <v>2305</v>
      </c>
      <c r="D120" s="405" t="s">
        <v>2336</v>
      </c>
      <c r="E120" s="405" t="s">
        <v>33</v>
      </c>
      <c r="F120" s="518">
        <v>43981</v>
      </c>
      <c r="G120" s="518">
        <v>44061</v>
      </c>
      <c r="H120" s="518">
        <v>44099</v>
      </c>
      <c r="I120" s="513">
        <v>8022.76</v>
      </c>
      <c r="J120" s="536"/>
      <c r="K120" s="536"/>
      <c r="L120" s="534"/>
      <c r="M120" s="514"/>
      <c r="O120" s="537">
        <f t="shared" si="1"/>
        <v>0</v>
      </c>
    </row>
    <row r="121" spans="1:15" s="399" customFormat="1" ht="12">
      <c r="A121" s="516" t="s">
        <v>2333</v>
      </c>
      <c r="B121" s="517" t="s">
        <v>174</v>
      </c>
      <c r="C121" s="426" t="s">
        <v>2305</v>
      </c>
      <c r="D121" s="405" t="s">
        <v>2336</v>
      </c>
      <c r="E121" s="405" t="s">
        <v>33</v>
      </c>
      <c r="F121" s="518">
        <v>43981</v>
      </c>
      <c r="G121" s="518">
        <v>44061</v>
      </c>
      <c r="H121" s="518">
        <v>44099</v>
      </c>
      <c r="I121" s="513">
        <v>125765.63</v>
      </c>
      <c r="J121" s="536"/>
      <c r="K121" s="536"/>
      <c r="L121" s="534"/>
      <c r="M121" s="514"/>
      <c r="O121" s="537">
        <f t="shared" si="1"/>
        <v>0</v>
      </c>
    </row>
    <row r="122" spans="1:15" s="399" customFormat="1" ht="12">
      <c r="A122" s="516" t="s">
        <v>2468</v>
      </c>
      <c r="B122" s="517" t="s">
        <v>174</v>
      </c>
      <c r="C122" s="426" t="s">
        <v>2305</v>
      </c>
      <c r="D122" s="405" t="s">
        <v>2336</v>
      </c>
      <c r="E122" s="405" t="s">
        <v>33</v>
      </c>
      <c r="F122" s="518">
        <v>43981</v>
      </c>
      <c r="G122" s="518">
        <v>44184</v>
      </c>
      <c r="H122" s="518">
        <v>44194</v>
      </c>
      <c r="I122" s="513">
        <v>142247.92000000001</v>
      </c>
      <c r="J122" s="536">
        <f>SUM(I117:I122)</f>
        <v>1156036.31</v>
      </c>
      <c r="K122" s="536">
        <v>721704</v>
      </c>
      <c r="L122" s="534">
        <f>J122-K122</f>
        <v>434332.31000000006</v>
      </c>
      <c r="M122" s="514"/>
      <c r="O122" s="537">
        <f t="shared" si="1"/>
        <v>434332.31000000006</v>
      </c>
    </row>
    <row r="123" spans="1:15" s="399" customFormat="1" ht="12">
      <c r="A123" s="516" t="s">
        <v>2469</v>
      </c>
      <c r="B123" s="517" t="s">
        <v>174</v>
      </c>
      <c r="C123" s="426" t="s">
        <v>2470</v>
      </c>
      <c r="D123" s="405" t="s">
        <v>59</v>
      </c>
      <c r="E123" s="405" t="s">
        <v>33</v>
      </c>
      <c r="F123" s="518">
        <v>44188</v>
      </c>
      <c r="G123" s="518">
        <v>44238</v>
      </c>
      <c r="H123" s="518">
        <v>44253</v>
      </c>
      <c r="I123" s="513">
        <v>1289893.22</v>
      </c>
      <c r="J123" s="536">
        <f>+I123</f>
        <v>1289893.22</v>
      </c>
      <c r="K123" s="536">
        <v>721704</v>
      </c>
      <c r="L123" s="534">
        <f>J123-K123</f>
        <v>568189.22</v>
      </c>
      <c r="M123" s="514"/>
      <c r="O123" s="537">
        <f t="shared" si="1"/>
        <v>568189.22</v>
      </c>
    </row>
    <row r="124" spans="1:15" s="399" customFormat="1" ht="12">
      <c r="A124" s="516" t="s">
        <v>2471</v>
      </c>
      <c r="B124" s="517" t="s">
        <v>174</v>
      </c>
      <c r="C124" s="426" t="s">
        <v>2472</v>
      </c>
      <c r="D124" s="405" t="s">
        <v>2401</v>
      </c>
      <c r="E124" s="405" t="s">
        <v>33</v>
      </c>
      <c r="F124" s="518">
        <v>44176</v>
      </c>
      <c r="G124" s="518">
        <v>44242</v>
      </c>
      <c r="H124" s="518">
        <v>44253</v>
      </c>
      <c r="I124" s="513">
        <v>177100.76</v>
      </c>
      <c r="J124" s="536"/>
      <c r="K124" s="536"/>
      <c r="L124" s="534"/>
      <c r="M124" s="514"/>
      <c r="O124" s="537">
        <f t="shared" si="1"/>
        <v>0</v>
      </c>
    </row>
    <row r="125" spans="1:15" s="399" customFormat="1" ht="12">
      <c r="A125" s="516" t="s">
        <v>2473</v>
      </c>
      <c r="B125" s="517" t="s">
        <v>1985</v>
      </c>
      <c r="C125" s="426" t="s">
        <v>2472</v>
      </c>
      <c r="D125" s="405" t="s">
        <v>2401</v>
      </c>
      <c r="E125" s="405" t="s">
        <v>33</v>
      </c>
      <c r="F125" s="518">
        <v>44176</v>
      </c>
      <c r="G125" s="518">
        <v>44271</v>
      </c>
      <c r="H125" s="518">
        <v>44281</v>
      </c>
      <c r="I125" s="513">
        <f>550000+7000</f>
        <v>557000</v>
      </c>
      <c r="J125" s="536">
        <f>+I125+I124</f>
        <v>734100.76</v>
      </c>
      <c r="K125" s="536">
        <v>721704</v>
      </c>
      <c r="L125" s="534">
        <f>J125-K125</f>
        <v>12396.760000000009</v>
      </c>
      <c r="M125" s="514"/>
      <c r="O125" s="537">
        <f t="shared" si="1"/>
        <v>12396.760000000009</v>
      </c>
    </row>
    <row r="126" spans="1:15" s="399" customFormat="1" ht="12">
      <c r="A126" s="516" t="s">
        <v>2474</v>
      </c>
      <c r="B126" s="517" t="s">
        <v>36</v>
      </c>
      <c r="C126" s="426" t="s">
        <v>2475</v>
      </c>
      <c r="D126" s="405" t="s">
        <v>2326</v>
      </c>
      <c r="E126" s="405" t="s">
        <v>33</v>
      </c>
      <c r="F126" s="518">
        <v>44176</v>
      </c>
      <c r="G126" s="518">
        <v>44224</v>
      </c>
      <c r="H126" s="518">
        <v>44253</v>
      </c>
      <c r="I126" s="513">
        <v>924962.32</v>
      </c>
      <c r="J126" s="536"/>
      <c r="K126" s="536"/>
      <c r="L126" s="534"/>
      <c r="M126" s="514"/>
      <c r="O126" s="537">
        <f t="shared" si="1"/>
        <v>0</v>
      </c>
    </row>
    <row r="127" spans="1:15" s="399" customFormat="1" ht="12">
      <c r="A127" s="516" t="s">
        <v>2476</v>
      </c>
      <c r="B127" s="517" t="s">
        <v>30</v>
      </c>
      <c r="C127" s="426" t="s">
        <v>2475</v>
      </c>
      <c r="D127" s="405" t="s">
        <v>2326</v>
      </c>
      <c r="E127" s="405" t="s">
        <v>33</v>
      </c>
      <c r="F127" s="518">
        <v>44176</v>
      </c>
      <c r="G127" s="518">
        <v>44223</v>
      </c>
      <c r="H127" s="518">
        <v>44253</v>
      </c>
      <c r="I127" s="513">
        <v>41500</v>
      </c>
      <c r="J127" s="536"/>
      <c r="K127" s="536"/>
      <c r="L127" s="534"/>
      <c r="M127" s="514"/>
      <c r="O127" s="537">
        <f t="shared" si="1"/>
        <v>0</v>
      </c>
    </row>
    <row r="128" spans="1:15" s="399" customFormat="1" ht="12">
      <c r="A128" s="516" t="s">
        <v>2477</v>
      </c>
      <c r="B128" s="517" t="s">
        <v>174</v>
      </c>
      <c r="C128" s="426" t="s">
        <v>2475</v>
      </c>
      <c r="D128" s="405" t="s">
        <v>2326</v>
      </c>
      <c r="E128" s="405" t="s">
        <v>33</v>
      </c>
      <c r="F128" s="518">
        <v>44176</v>
      </c>
      <c r="G128" s="518">
        <v>44222</v>
      </c>
      <c r="H128" s="518">
        <v>44238</v>
      </c>
      <c r="I128" s="513">
        <v>105000</v>
      </c>
      <c r="J128" s="536"/>
      <c r="K128" s="536"/>
      <c r="L128" s="534"/>
      <c r="M128" s="514"/>
      <c r="O128" s="537">
        <f t="shared" si="1"/>
        <v>0</v>
      </c>
    </row>
    <row r="129" spans="1:15" s="399" customFormat="1" ht="12">
      <c r="A129" s="516" t="s">
        <v>2478</v>
      </c>
      <c r="B129" s="517" t="s">
        <v>23</v>
      </c>
      <c r="C129" s="426" t="s">
        <v>2475</v>
      </c>
      <c r="D129" s="405" t="s">
        <v>2326</v>
      </c>
      <c r="E129" s="405" t="s">
        <v>33</v>
      </c>
      <c r="F129" s="518">
        <v>44176</v>
      </c>
      <c r="G129" s="518">
        <v>44222</v>
      </c>
      <c r="H129" s="518">
        <v>44238</v>
      </c>
      <c r="I129" s="513">
        <v>43037.31</v>
      </c>
      <c r="J129" s="536"/>
      <c r="K129" s="536"/>
      <c r="L129" s="534"/>
      <c r="M129" s="514"/>
      <c r="O129" s="537">
        <f t="shared" si="1"/>
        <v>0</v>
      </c>
    </row>
    <row r="130" spans="1:15" s="399" customFormat="1" ht="12">
      <c r="A130" s="516" t="s">
        <v>2479</v>
      </c>
      <c r="B130" s="517" t="s">
        <v>36</v>
      </c>
      <c r="C130" s="426" t="s">
        <v>2475</v>
      </c>
      <c r="D130" s="405" t="s">
        <v>2326</v>
      </c>
      <c r="E130" s="405" t="s">
        <v>33</v>
      </c>
      <c r="F130" s="518">
        <v>44176</v>
      </c>
      <c r="G130" s="518">
        <v>44224</v>
      </c>
      <c r="H130" s="518">
        <v>44260</v>
      </c>
      <c r="I130" s="513">
        <v>425000</v>
      </c>
      <c r="J130" s="536"/>
      <c r="K130" s="536"/>
      <c r="L130" s="534"/>
      <c r="M130" s="514"/>
      <c r="O130" s="537">
        <f t="shared" si="1"/>
        <v>0</v>
      </c>
    </row>
    <row r="131" spans="1:15" s="399" customFormat="1" ht="12">
      <c r="A131" s="516" t="s">
        <v>2480</v>
      </c>
      <c r="B131" s="517" t="s">
        <v>174</v>
      </c>
      <c r="C131" s="426" t="s">
        <v>2475</v>
      </c>
      <c r="D131" s="405" t="s">
        <v>2326</v>
      </c>
      <c r="E131" s="405" t="s">
        <v>33</v>
      </c>
      <c r="F131" s="518">
        <v>44176</v>
      </c>
      <c r="G131" s="518">
        <v>44223</v>
      </c>
      <c r="H131" s="518">
        <v>44260</v>
      </c>
      <c r="I131" s="513">
        <v>75000</v>
      </c>
      <c r="J131" s="536"/>
      <c r="K131" s="536"/>
      <c r="L131" s="534"/>
      <c r="M131" s="514"/>
      <c r="O131" s="537">
        <f t="shared" si="1"/>
        <v>0</v>
      </c>
    </row>
    <row r="132" spans="1:15" s="399" customFormat="1" ht="12">
      <c r="A132" s="516" t="s">
        <v>2477</v>
      </c>
      <c r="B132" s="517" t="s">
        <v>174</v>
      </c>
      <c r="C132" s="426" t="s">
        <v>2475</v>
      </c>
      <c r="D132" s="405" t="s">
        <v>2326</v>
      </c>
      <c r="E132" s="405" t="s">
        <v>33</v>
      </c>
      <c r="F132" s="518">
        <v>44176</v>
      </c>
      <c r="G132" s="518">
        <v>44222</v>
      </c>
      <c r="H132" s="518">
        <v>44238</v>
      </c>
      <c r="I132" s="513">
        <v>116800</v>
      </c>
      <c r="J132" s="536">
        <f>SUM(I126:I132)</f>
        <v>1731299.63</v>
      </c>
      <c r="K132" s="536">
        <v>721704</v>
      </c>
      <c r="L132" s="534">
        <f>+J132-K132</f>
        <v>1009595.6299999999</v>
      </c>
      <c r="M132" s="514"/>
      <c r="O132" s="537">
        <f t="shared" si="1"/>
        <v>1009595.6299999999</v>
      </c>
    </row>
    <row r="133" spans="1:15" s="399" customFormat="1" ht="12">
      <c r="A133" s="516" t="s">
        <v>2481</v>
      </c>
      <c r="B133" s="517" t="s">
        <v>174</v>
      </c>
      <c r="C133" s="426" t="s">
        <v>2482</v>
      </c>
      <c r="D133" s="405" t="s">
        <v>84</v>
      </c>
      <c r="E133" s="405" t="s">
        <v>33</v>
      </c>
      <c r="F133" s="518">
        <v>43973</v>
      </c>
      <c r="G133" s="518">
        <v>43997</v>
      </c>
      <c r="H133" s="518">
        <v>44251</v>
      </c>
      <c r="I133" s="513">
        <v>850000</v>
      </c>
      <c r="J133" s="536"/>
      <c r="K133" s="536"/>
      <c r="L133" s="534"/>
      <c r="M133" s="514"/>
      <c r="O133" s="537">
        <f t="shared" si="1"/>
        <v>0</v>
      </c>
    </row>
    <row r="134" spans="1:15" s="399" customFormat="1" ht="12">
      <c r="A134" s="516" t="s">
        <v>2483</v>
      </c>
      <c r="B134" s="517" t="s">
        <v>1917</v>
      </c>
      <c r="C134" s="426" t="s">
        <v>2482</v>
      </c>
      <c r="D134" s="405" t="s">
        <v>84</v>
      </c>
      <c r="E134" s="405" t="s">
        <v>33</v>
      </c>
      <c r="F134" s="518">
        <v>43973</v>
      </c>
      <c r="G134" s="518">
        <v>43997</v>
      </c>
      <c r="H134" s="518">
        <v>44005</v>
      </c>
      <c r="I134" s="513">
        <v>7000</v>
      </c>
      <c r="J134" s="536"/>
      <c r="K134" s="536"/>
      <c r="L134" s="534"/>
      <c r="M134" s="514"/>
      <c r="O134" s="537">
        <f t="shared" si="1"/>
        <v>0</v>
      </c>
    </row>
    <row r="135" spans="1:15" s="399" customFormat="1" ht="12">
      <c r="A135" s="516" t="s">
        <v>2484</v>
      </c>
      <c r="B135" s="517" t="s">
        <v>23</v>
      </c>
      <c r="C135" s="426" t="s">
        <v>2482</v>
      </c>
      <c r="D135" s="405" t="s">
        <v>84</v>
      </c>
      <c r="E135" s="405" t="s">
        <v>33</v>
      </c>
      <c r="F135" s="518">
        <v>43973</v>
      </c>
      <c r="G135" s="518">
        <v>43997</v>
      </c>
      <c r="H135" s="518">
        <v>44005</v>
      </c>
      <c r="I135" s="513">
        <v>40348.04</v>
      </c>
      <c r="J135" s="536">
        <f>SUM(I133:I135)</f>
        <v>897348.04</v>
      </c>
      <c r="K135" s="536">
        <v>721704</v>
      </c>
      <c r="L135" s="534">
        <f>J135-K135</f>
        <v>175644.04000000004</v>
      </c>
      <c r="M135" s="514"/>
      <c r="O135" s="537">
        <f t="shared" si="1"/>
        <v>175644.04000000004</v>
      </c>
    </row>
    <row r="136" spans="1:15" s="399" customFormat="1" ht="12">
      <c r="A136" s="516" t="s">
        <v>2549</v>
      </c>
      <c r="B136" s="517" t="s">
        <v>174</v>
      </c>
      <c r="C136" s="426" t="s">
        <v>2550</v>
      </c>
      <c r="D136" s="405" t="s">
        <v>2326</v>
      </c>
      <c r="E136" s="405" t="s">
        <v>33</v>
      </c>
      <c r="F136" s="518">
        <v>44189</v>
      </c>
      <c r="G136" s="518">
        <v>44420</v>
      </c>
      <c r="H136" s="518">
        <v>44620</v>
      </c>
      <c r="I136" s="513">
        <v>1200000</v>
      </c>
      <c r="J136" s="536">
        <f>+I136</f>
        <v>1200000</v>
      </c>
      <c r="K136" s="536">
        <v>721704</v>
      </c>
      <c r="L136" s="534">
        <f>+J136-K136</f>
        <v>478296</v>
      </c>
      <c r="M136" s="514"/>
      <c r="O136" s="537">
        <f t="shared" si="1"/>
        <v>478296</v>
      </c>
    </row>
    <row r="137" spans="1:15" s="399" customFormat="1" ht="12">
      <c r="A137" s="516" t="s">
        <v>2542</v>
      </c>
      <c r="B137" s="517" t="s">
        <v>174</v>
      </c>
      <c r="C137" s="426" t="s">
        <v>2547</v>
      </c>
      <c r="D137" s="405" t="s">
        <v>2548</v>
      </c>
      <c r="E137" s="405" t="s">
        <v>33</v>
      </c>
      <c r="F137" s="518">
        <v>44049</v>
      </c>
      <c r="G137" s="518">
        <v>44144</v>
      </c>
      <c r="H137" s="518">
        <v>44341</v>
      </c>
      <c r="I137" s="513">
        <v>110312.31999999999</v>
      </c>
      <c r="J137" s="536"/>
      <c r="K137" s="536"/>
      <c r="L137" s="534"/>
      <c r="M137" s="514"/>
      <c r="O137" s="537">
        <f t="shared" si="1"/>
        <v>0</v>
      </c>
    </row>
    <row r="138" spans="1:15" s="399" customFormat="1" ht="12">
      <c r="A138" s="516" t="s">
        <v>2543</v>
      </c>
      <c r="B138" s="517" t="s">
        <v>23</v>
      </c>
      <c r="C138" s="426" t="s">
        <v>2547</v>
      </c>
      <c r="D138" s="405" t="s">
        <v>2548</v>
      </c>
      <c r="E138" s="405" t="s">
        <v>33</v>
      </c>
      <c r="F138" s="518">
        <v>44049</v>
      </c>
      <c r="G138" s="518">
        <v>44144</v>
      </c>
      <c r="H138" s="518">
        <v>44218</v>
      </c>
      <c r="I138" s="513">
        <v>31084.85</v>
      </c>
      <c r="J138" s="536"/>
      <c r="K138" s="536"/>
      <c r="L138" s="534"/>
      <c r="M138" s="514"/>
      <c r="O138" s="537">
        <f t="shared" si="1"/>
        <v>0</v>
      </c>
    </row>
    <row r="139" spans="1:15" s="399" customFormat="1" ht="12">
      <c r="A139" s="516" t="s">
        <v>2544</v>
      </c>
      <c r="B139" s="517" t="s">
        <v>93</v>
      </c>
      <c r="C139" s="426" t="s">
        <v>2547</v>
      </c>
      <c r="D139" s="405" t="s">
        <v>2548</v>
      </c>
      <c r="E139" s="405" t="s">
        <v>33</v>
      </c>
      <c r="F139" s="518">
        <v>44049</v>
      </c>
      <c r="G139" s="518">
        <v>44180</v>
      </c>
      <c r="H139" s="518">
        <v>44221</v>
      </c>
      <c r="I139" s="513">
        <v>525000</v>
      </c>
      <c r="J139" s="536"/>
      <c r="K139" s="536"/>
      <c r="L139" s="534"/>
      <c r="M139" s="514"/>
      <c r="O139" s="537">
        <f t="shared" si="1"/>
        <v>0</v>
      </c>
    </row>
    <row r="140" spans="1:15" s="399" customFormat="1" ht="12">
      <c r="A140" s="516" t="s">
        <v>2545</v>
      </c>
      <c r="B140" s="517" t="s">
        <v>174</v>
      </c>
      <c r="C140" s="426" t="s">
        <v>2547</v>
      </c>
      <c r="D140" s="405" t="s">
        <v>2548</v>
      </c>
      <c r="E140" s="405" t="s">
        <v>33</v>
      </c>
      <c r="F140" s="518">
        <v>44049</v>
      </c>
      <c r="G140" s="518">
        <v>44453</v>
      </c>
      <c r="H140" s="518">
        <v>44508</v>
      </c>
      <c r="I140" s="513">
        <v>79698.490000000005</v>
      </c>
      <c r="J140" s="536"/>
      <c r="K140" s="536"/>
      <c r="L140" s="534"/>
      <c r="M140" s="514"/>
      <c r="O140" s="537">
        <f t="shared" si="1"/>
        <v>0</v>
      </c>
    </row>
    <row r="141" spans="1:15" s="399" customFormat="1" ht="12">
      <c r="A141" s="516" t="s">
        <v>2546</v>
      </c>
      <c r="B141" s="517" t="s">
        <v>23</v>
      </c>
      <c r="C141" s="426" t="s">
        <v>2547</v>
      </c>
      <c r="D141" s="405" t="s">
        <v>2548</v>
      </c>
      <c r="E141" s="405" t="s">
        <v>33</v>
      </c>
      <c r="F141" s="518">
        <v>44049</v>
      </c>
      <c r="G141" s="518">
        <v>44453</v>
      </c>
      <c r="H141" s="518">
        <v>44508</v>
      </c>
      <c r="I141" s="513">
        <v>23774.55</v>
      </c>
      <c r="J141" s="536">
        <f>+I137+I138+I139+I140+I141</f>
        <v>769870.21</v>
      </c>
      <c r="K141" s="536">
        <v>721704</v>
      </c>
      <c r="L141" s="534">
        <f>+J141-K141</f>
        <v>48166.209999999963</v>
      </c>
      <c r="M141" s="514"/>
      <c r="O141" s="537">
        <f t="shared" si="1"/>
        <v>48166.209999999963</v>
      </c>
    </row>
    <row r="142" spans="1:15" s="399" customFormat="1" ht="12">
      <c r="A142" s="516" t="s">
        <v>2485</v>
      </c>
      <c r="B142" s="517" t="s">
        <v>174</v>
      </c>
      <c r="C142" s="426" t="s">
        <v>2486</v>
      </c>
      <c r="D142" s="405" t="s">
        <v>2385</v>
      </c>
      <c r="E142" s="405" t="s">
        <v>33</v>
      </c>
      <c r="F142" s="518">
        <v>44082</v>
      </c>
      <c r="G142" s="518">
        <v>44159</v>
      </c>
      <c r="H142" s="518">
        <v>44187</v>
      </c>
      <c r="I142" s="513">
        <v>1519610.9</v>
      </c>
      <c r="J142" s="536"/>
      <c r="K142" s="536"/>
      <c r="L142" s="534"/>
      <c r="M142" s="514"/>
      <c r="O142" s="537">
        <f t="shared" ref="O142:O162" si="2">IF($J142&gt;P$8,$J142-P$8,0)</f>
        <v>0</v>
      </c>
    </row>
    <row r="143" spans="1:15" s="399" customFormat="1" ht="12">
      <c r="A143" s="516" t="s">
        <v>2487</v>
      </c>
      <c r="B143" s="517" t="s">
        <v>23</v>
      </c>
      <c r="C143" s="426" t="s">
        <v>2486</v>
      </c>
      <c r="D143" s="405" t="s">
        <v>2385</v>
      </c>
      <c r="E143" s="405" t="s">
        <v>33</v>
      </c>
      <c r="F143" s="518">
        <v>44082</v>
      </c>
      <c r="G143" s="518">
        <v>44159</v>
      </c>
      <c r="H143" s="518">
        <v>44175</v>
      </c>
      <c r="I143" s="513">
        <v>87500</v>
      </c>
      <c r="J143" s="536"/>
      <c r="K143" s="536"/>
      <c r="L143" s="534"/>
      <c r="M143" s="514"/>
      <c r="O143" s="537">
        <f t="shared" si="2"/>
        <v>0</v>
      </c>
    </row>
    <row r="144" spans="1:15" s="399" customFormat="1" ht="12">
      <c r="A144" s="516" t="s">
        <v>2488</v>
      </c>
      <c r="B144" s="517" t="s">
        <v>174</v>
      </c>
      <c r="C144" s="426" t="s">
        <v>2486</v>
      </c>
      <c r="D144" s="405" t="s">
        <v>2385</v>
      </c>
      <c r="E144" s="405" t="s">
        <v>33</v>
      </c>
      <c r="F144" s="518">
        <v>44082</v>
      </c>
      <c r="G144" s="518">
        <v>44161</v>
      </c>
      <c r="H144" s="518">
        <v>44175</v>
      </c>
      <c r="I144" s="513">
        <v>83565.75</v>
      </c>
      <c r="J144" s="536"/>
      <c r="K144" s="536"/>
      <c r="L144" s="534"/>
      <c r="M144" s="514"/>
      <c r="O144" s="537">
        <f t="shared" si="2"/>
        <v>0</v>
      </c>
    </row>
    <row r="145" spans="1:15" s="399" customFormat="1" ht="12">
      <c r="A145" s="516" t="s">
        <v>2489</v>
      </c>
      <c r="B145" s="517" t="s">
        <v>23</v>
      </c>
      <c r="C145" s="426" t="s">
        <v>2486</v>
      </c>
      <c r="D145" s="405" t="s">
        <v>2385</v>
      </c>
      <c r="E145" s="405" t="s">
        <v>33</v>
      </c>
      <c r="F145" s="518">
        <v>44082</v>
      </c>
      <c r="G145" s="518">
        <v>44161</v>
      </c>
      <c r="H145" s="518">
        <v>44175</v>
      </c>
      <c r="I145" s="513">
        <v>28972.99</v>
      </c>
      <c r="J145" s="536">
        <f>SUM(I142:I145)</f>
        <v>1719649.64</v>
      </c>
      <c r="K145" s="536">
        <v>721704</v>
      </c>
      <c r="L145" s="534">
        <f>J145-K145</f>
        <v>997945.6399999999</v>
      </c>
      <c r="M145" s="514"/>
      <c r="O145" s="537">
        <f t="shared" si="2"/>
        <v>997945.6399999999</v>
      </c>
    </row>
    <row r="146" spans="1:15" s="399" customFormat="1" ht="12">
      <c r="A146" s="516" t="s">
        <v>2351</v>
      </c>
      <c r="B146" s="517" t="s">
        <v>36</v>
      </c>
      <c r="C146" s="426" t="s">
        <v>2375</v>
      </c>
      <c r="D146" s="405" t="s">
        <v>59</v>
      </c>
      <c r="E146" s="405" t="s">
        <v>33</v>
      </c>
      <c r="F146" s="518">
        <v>44025</v>
      </c>
      <c r="G146" s="518">
        <v>44063</v>
      </c>
      <c r="H146" s="518">
        <v>44117</v>
      </c>
      <c r="I146" s="513">
        <v>1591777.5</v>
      </c>
      <c r="J146" s="536"/>
      <c r="K146" s="536"/>
      <c r="L146" s="534"/>
      <c r="M146" s="514"/>
      <c r="O146" s="537">
        <f t="shared" si="2"/>
        <v>0</v>
      </c>
    </row>
    <row r="147" spans="1:15" s="399" customFormat="1" ht="12">
      <c r="A147" s="516" t="s">
        <v>2352</v>
      </c>
      <c r="B147" s="517" t="s">
        <v>1917</v>
      </c>
      <c r="C147" s="426" t="s">
        <v>2375</v>
      </c>
      <c r="D147" s="405" t="s">
        <v>59</v>
      </c>
      <c r="E147" s="405" t="s">
        <v>33</v>
      </c>
      <c r="F147" s="518">
        <v>44025</v>
      </c>
      <c r="G147" s="518">
        <v>44063</v>
      </c>
      <c r="H147" s="518">
        <v>44117</v>
      </c>
      <c r="I147" s="513">
        <v>7000</v>
      </c>
      <c r="J147" s="536"/>
      <c r="K147" s="536"/>
      <c r="L147" s="534"/>
      <c r="M147" s="514"/>
      <c r="O147" s="537">
        <f t="shared" si="2"/>
        <v>0</v>
      </c>
    </row>
    <row r="148" spans="1:15" s="399" customFormat="1" ht="12">
      <c r="A148" s="516" t="s">
        <v>2353</v>
      </c>
      <c r="B148" s="517" t="s">
        <v>174</v>
      </c>
      <c r="C148" s="426" t="s">
        <v>2375</v>
      </c>
      <c r="D148" s="405" t="s">
        <v>59</v>
      </c>
      <c r="E148" s="405" t="s">
        <v>33</v>
      </c>
      <c r="F148" s="518">
        <v>44025</v>
      </c>
      <c r="G148" s="518">
        <v>44063</v>
      </c>
      <c r="H148" s="518">
        <v>44117</v>
      </c>
      <c r="I148" s="513">
        <v>1000000</v>
      </c>
      <c r="J148" s="536"/>
      <c r="K148" s="536"/>
      <c r="L148" s="534"/>
      <c r="M148" s="514"/>
      <c r="O148" s="537">
        <f t="shared" si="2"/>
        <v>0</v>
      </c>
    </row>
    <row r="149" spans="1:15" s="399" customFormat="1" ht="12">
      <c r="A149" s="516" t="s">
        <v>2354</v>
      </c>
      <c r="B149" s="517" t="s">
        <v>23</v>
      </c>
      <c r="C149" s="426" t="s">
        <v>2375</v>
      </c>
      <c r="D149" s="405" t="s">
        <v>59</v>
      </c>
      <c r="E149" s="405" t="s">
        <v>33</v>
      </c>
      <c r="F149" s="518">
        <v>44025</v>
      </c>
      <c r="G149" s="518">
        <v>44063</v>
      </c>
      <c r="H149" s="518">
        <v>44117</v>
      </c>
      <c r="I149" s="513">
        <v>104500</v>
      </c>
      <c r="J149" s="536"/>
      <c r="K149" s="536"/>
      <c r="L149" s="534"/>
      <c r="M149" s="514"/>
      <c r="O149" s="537">
        <f t="shared" si="2"/>
        <v>0</v>
      </c>
    </row>
    <row r="150" spans="1:15" s="399" customFormat="1" ht="12">
      <c r="A150" s="516" t="s">
        <v>2351</v>
      </c>
      <c r="B150" s="517" t="s">
        <v>36</v>
      </c>
      <c r="C150" s="426" t="s">
        <v>2375</v>
      </c>
      <c r="D150" s="405" t="s">
        <v>59</v>
      </c>
      <c r="E150" s="405" t="s">
        <v>33</v>
      </c>
      <c r="F150" s="518">
        <v>44025</v>
      </c>
      <c r="G150" s="518">
        <v>44063</v>
      </c>
      <c r="H150" s="518">
        <v>44161</v>
      </c>
      <c r="I150" s="513">
        <v>408222.5</v>
      </c>
      <c r="J150" s="536">
        <f>SUM(I146:I150)</f>
        <v>3111500</v>
      </c>
      <c r="K150" s="536">
        <v>721704</v>
      </c>
      <c r="L150" s="534">
        <f>J150-K150</f>
        <v>2389796</v>
      </c>
      <c r="M150" s="514"/>
      <c r="O150" s="537">
        <f t="shared" si="2"/>
        <v>2389796</v>
      </c>
    </row>
    <row r="151" spans="1:15" s="399" customFormat="1" ht="12">
      <c r="A151" s="516" t="s">
        <v>2490</v>
      </c>
      <c r="B151" s="517" t="s">
        <v>174</v>
      </c>
      <c r="C151" s="426" t="s">
        <v>2491</v>
      </c>
      <c r="D151" s="405" t="s">
        <v>59</v>
      </c>
      <c r="E151" s="405" t="s">
        <v>33</v>
      </c>
      <c r="F151" s="518">
        <v>44000</v>
      </c>
      <c r="G151" s="518">
        <v>44187</v>
      </c>
      <c r="H151" s="518">
        <v>44258</v>
      </c>
      <c r="I151" s="513">
        <f>1228269.55+283944.17</f>
        <v>1512213.72</v>
      </c>
      <c r="J151" s="536"/>
      <c r="K151" s="536"/>
      <c r="L151" s="534"/>
      <c r="M151" s="514"/>
      <c r="O151" s="537">
        <f t="shared" si="2"/>
        <v>0</v>
      </c>
    </row>
    <row r="152" spans="1:15" s="399" customFormat="1" ht="12">
      <c r="A152" s="516" t="s">
        <v>2492</v>
      </c>
      <c r="B152" s="517" t="s">
        <v>23</v>
      </c>
      <c r="C152" s="426" t="s">
        <v>2491</v>
      </c>
      <c r="D152" s="405" t="s">
        <v>59</v>
      </c>
      <c r="E152" s="405" t="s">
        <v>33</v>
      </c>
      <c r="F152" s="518">
        <v>44000</v>
      </c>
      <c r="G152" s="518">
        <v>44186</v>
      </c>
      <c r="H152" s="518">
        <v>44194</v>
      </c>
      <c r="I152" s="513">
        <v>87500</v>
      </c>
      <c r="J152" s="536">
        <f>SUM(I151:I152)</f>
        <v>1599713.72</v>
      </c>
      <c r="K152" s="536">
        <v>721704</v>
      </c>
      <c r="L152" s="534">
        <f>J152-K152</f>
        <v>878009.72</v>
      </c>
      <c r="M152" s="514"/>
      <c r="O152" s="537">
        <f t="shared" si="2"/>
        <v>878009.72</v>
      </c>
    </row>
    <row r="153" spans="1:15" s="399" customFormat="1" ht="12">
      <c r="A153" s="516" t="s">
        <v>2355</v>
      </c>
      <c r="B153" s="517" t="s">
        <v>174</v>
      </c>
      <c r="C153" s="426" t="s">
        <v>2376</v>
      </c>
      <c r="D153" s="405" t="s">
        <v>2326</v>
      </c>
      <c r="E153" s="405" t="s">
        <v>33</v>
      </c>
      <c r="F153" s="518">
        <v>44021</v>
      </c>
      <c r="G153" s="518">
        <v>44056</v>
      </c>
      <c r="H153" s="518">
        <v>44123</v>
      </c>
      <c r="I153" s="513">
        <v>741600</v>
      </c>
      <c r="J153" s="536"/>
      <c r="K153" s="536"/>
      <c r="L153" s="534"/>
      <c r="M153" s="514"/>
      <c r="O153" s="537">
        <f t="shared" si="2"/>
        <v>0</v>
      </c>
    </row>
    <row r="154" spans="1:15" s="399" customFormat="1" ht="12">
      <c r="A154" s="516" t="s">
        <v>2356</v>
      </c>
      <c r="B154" s="517" t="s">
        <v>23</v>
      </c>
      <c r="C154" s="426" t="s">
        <v>2376</v>
      </c>
      <c r="D154" s="405" t="s">
        <v>2326</v>
      </c>
      <c r="E154" s="405" t="s">
        <v>33</v>
      </c>
      <c r="F154" s="518">
        <v>44021</v>
      </c>
      <c r="G154" s="518">
        <v>44056</v>
      </c>
      <c r="H154" s="518">
        <v>44118</v>
      </c>
      <c r="I154" s="513">
        <v>31255.41</v>
      </c>
      <c r="J154" s="536">
        <f>SUM(I153:I154)</f>
        <v>772855.41</v>
      </c>
      <c r="K154" s="536">
        <v>721704</v>
      </c>
      <c r="L154" s="534">
        <f>J154-K154</f>
        <v>51151.410000000033</v>
      </c>
      <c r="M154" s="514"/>
      <c r="O154" s="537">
        <f t="shared" si="2"/>
        <v>51151.410000000033</v>
      </c>
    </row>
    <row r="155" spans="1:15" s="399" customFormat="1" ht="12">
      <c r="A155" s="516" t="s">
        <v>2316</v>
      </c>
      <c r="B155" s="517" t="s">
        <v>23</v>
      </c>
      <c r="C155" s="426" t="s">
        <v>2324</v>
      </c>
      <c r="D155" s="405" t="s">
        <v>1891</v>
      </c>
      <c r="E155" s="405" t="s">
        <v>33</v>
      </c>
      <c r="F155" s="518">
        <v>44002</v>
      </c>
      <c r="G155" s="518">
        <v>44033</v>
      </c>
      <c r="H155" s="518">
        <v>44049</v>
      </c>
      <c r="I155" s="513">
        <f>148500+16500</f>
        <v>165000</v>
      </c>
      <c r="J155" s="536"/>
      <c r="K155" s="536"/>
      <c r="L155" s="534"/>
      <c r="M155" s="514"/>
      <c r="O155" s="537">
        <f t="shared" si="2"/>
        <v>0</v>
      </c>
    </row>
    <row r="156" spans="1:15" s="399" customFormat="1" ht="12">
      <c r="A156" s="516" t="s">
        <v>2317</v>
      </c>
      <c r="B156" s="517" t="s">
        <v>174</v>
      </c>
      <c r="C156" s="426" t="s">
        <v>2324</v>
      </c>
      <c r="D156" s="405" t="s">
        <v>1891</v>
      </c>
      <c r="E156" s="405" t="s">
        <v>33</v>
      </c>
      <c r="F156" s="518">
        <v>44002</v>
      </c>
      <c r="G156" s="518">
        <v>44033</v>
      </c>
      <c r="H156" s="518">
        <v>44055</v>
      </c>
      <c r="I156" s="513">
        <v>1412000</v>
      </c>
      <c r="J156" s="536">
        <f>SUM(I155:I156)</f>
        <v>1577000</v>
      </c>
      <c r="K156" s="536">
        <v>721704</v>
      </c>
      <c r="L156" s="534">
        <f>J156-K156</f>
        <v>855296</v>
      </c>
      <c r="M156" s="514"/>
      <c r="O156" s="537">
        <f t="shared" si="2"/>
        <v>855296</v>
      </c>
    </row>
    <row r="157" spans="1:15" s="399" customFormat="1" ht="12">
      <c r="A157" s="516" t="s">
        <v>2357</v>
      </c>
      <c r="B157" s="517" t="s">
        <v>174</v>
      </c>
      <c r="C157" s="426" t="s">
        <v>2377</v>
      </c>
      <c r="D157" s="405" t="s">
        <v>2385</v>
      </c>
      <c r="E157" s="405" t="s">
        <v>33</v>
      </c>
      <c r="F157" s="518">
        <v>44019</v>
      </c>
      <c r="G157" s="518">
        <v>44102</v>
      </c>
      <c r="H157" s="518">
        <v>44113</v>
      </c>
      <c r="I157" s="513">
        <v>820548.57</v>
      </c>
      <c r="J157" s="536"/>
      <c r="K157" s="536"/>
      <c r="L157" s="534"/>
      <c r="M157" s="514"/>
      <c r="O157" s="537">
        <f t="shared" si="2"/>
        <v>0</v>
      </c>
    </row>
    <row r="158" spans="1:15" s="399" customFormat="1" ht="12">
      <c r="A158" s="516" t="s">
        <v>2358</v>
      </c>
      <c r="B158" s="517" t="s">
        <v>23</v>
      </c>
      <c r="C158" s="426" t="s">
        <v>2377</v>
      </c>
      <c r="D158" s="405" t="s">
        <v>2385</v>
      </c>
      <c r="E158" s="405" t="s">
        <v>33</v>
      </c>
      <c r="F158" s="518">
        <v>44019</v>
      </c>
      <c r="G158" s="518">
        <v>44102</v>
      </c>
      <c r="H158" s="518">
        <v>44113</v>
      </c>
      <c r="I158" s="513">
        <v>24968.25</v>
      </c>
      <c r="J158" s="536"/>
      <c r="K158" s="536"/>
      <c r="L158" s="534"/>
      <c r="M158" s="514"/>
      <c r="O158" s="537">
        <f t="shared" si="2"/>
        <v>0</v>
      </c>
    </row>
    <row r="159" spans="1:15" s="399" customFormat="1" ht="12">
      <c r="A159" s="516" t="s">
        <v>2357</v>
      </c>
      <c r="B159" s="517" t="s">
        <v>174</v>
      </c>
      <c r="C159" s="426" t="s">
        <v>2377</v>
      </c>
      <c r="D159" s="405" t="s">
        <v>2385</v>
      </c>
      <c r="E159" s="405" t="s">
        <v>33</v>
      </c>
      <c r="F159" s="518">
        <v>44019</v>
      </c>
      <c r="G159" s="518">
        <v>44102</v>
      </c>
      <c r="H159" s="518">
        <v>44161</v>
      </c>
      <c r="I159" s="513">
        <v>61176.45</v>
      </c>
      <c r="J159" s="536">
        <f>SUM(I157:I159)</f>
        <v>906693.2699999999</v>
      </c>
      <c r="K159" s="536">
        <v>721704</v>
      </c>
      <c r="L159" s="534">
        <f>J159-K159</f>
        <v>184989.2699999999</v>
      </c>
      <c r="M159" s="514"/>
      <c r="O159" s="537">
        <f t="shared" si="2"/>
        <v>184989.2699999999</v>
      </c>
    </row>
    <row r="160" spans="1:15" s="399" customFormat="1" ht="12">
      <c r="A160" s="516" t="s">
        <v>2493</v>
      </c>
      <c r="B160" s="517" t="s">
        <v>174</v>
      </c>
      <c r="C160" s="426" t="s">
        <v>2494</v>
      </c>
      <c r="D160" s="405" t="s">
        <v>69</v>
      </c>
      <c r="E160" s="405" t="s">
        <v>33</v>
      </c>
      <c r="F160" s="518">
        <v>44161</v>
      </c>
      <c r="G160" s="518">
        <v>44230</v>
      </c>
      <c r="H160" s="518">
        <v>44238</v>
      </c>
      <c r="I160" s="513">
        <v>38506.32</v>
      </c>
      <c r="J160" s="547"/>
      <c r="K160" s="547"/>
      <c r="L160" s="547"/>
      <c r="M160" s="514"/>
      <c r="O160" s="537">
        <f t="shared" si="2"/>
        <v>0</v>
      </c>
    </row>
    <row r="161" spans="1:15" s="399" customFormat="1" ht="12">
      <c r="A161" s="516" t="s">
        <v>2495</v>
      </c>
      <c r="B161" s="517" t="s">
        <v>23</v>
      </c>
      <c r="C161" s="426" t="s">
        <v>2494</v>
      </c>
      <c r="D161" s="405" t="s">
        <v>69</v>
      </c>
      <c r="E161" s="405" t="s">
        <v>33</v>
      </c>
      <c r="F161" s="518">
        <v>44161</v>
      </c>
      <c r="G161" s="518">
        <v>44230</v>
      </c>
      <c r="H161" s="518">
        <v>44238</v>
      </c>
      <c r="I161" s="513">
        <v>54030.03</v>
      </c>
      <c r="J161" s="547"/>
      <c r="K161" s="547"/>
      <c r="L161" s="547"/>
      <c r="M161" s="514"/>
      <c r="O161" s="537">
        <f t="shared" si="2"/>
        <v>0</v>
      </c>
    </row>
    <row r="162" spans="1:15" s="399" customFormat="1" ht="12">
      <c r="A162" s="516" t="s">
        <v>2496</v>
      </c>
      <c r="B162" s="517" t="s">
        <v>174</v>
      </c>
      <c r="C162" s="426" t="s">
        <v>2494</v>
      </c>
      <c r="D162" s="405" t="s">
        <v>69</v>
      </c>
      <c r="E162" s="405" t="s">
        <v>33</v>
      </c>
      <c r="F162" s="518">
        <v>44161</v>
      </c>
      <c r="G162" s="518">
        <v>44314</v>
      </c>
      <c r="H162" s="518">
        <v>44372</v>
      </c>
      <c r="I162" s="513">
        <v>810000</v>
      </c>
      <c r="J162" s="547"/>
      <c r="K162" s="547"/>
      <c r="L162" s="547"/>
      <c r="M162" s="514"/>
      <c r="O162" s="537">
        <f t="shared" si="2"/>
        <v>0</v>
      </c>
    </row>
    <row r="163" spans="1:15" s="399" customFormat="1" ht="12.6" thickBot="1">
      <c r="A163" s="516" t="s">
        <v>2497</v>
      </c>
      <c r="B163" s="517" t="s">
        <v>23</v>
      </c>
      <c r="C163" s="426" t="s">
        <v>2494</v>
      </c>
      <c r="D163" s="405" t="s">
        <v>69</v>
      </c>
      <c r="E163" s="405" t="s">
        <v>33</v>
      </c>
      <c r="F163" s="518">
        <v>44161</v>
      </c>
      <c r="G163" s="518">
        <v>44314</v>
      </c>
      <c r="H163" s="548">
        <v>44370</v>
      </c>
      <c r="I163" s="520">
        <v>165000</v>
      </c>
      <c r="J163" s="549">
        <f>SUM(I160:I163)</f>
        <v>1067536.3500000001</v>
      </c>
      <c r="K163" s="549">
        <v>721704</v>
      </c>
      <c r="L163" s="549">
        <f>+J163-K163</f>
        <v>345832.35000000009</v>
      </c>
      <c r="M163" s="521"/>
      <c r="O163" s="537">
        <f t="shared" ref="O163" si="3">IF($J163&gt;P$8,$J163-P$8,0)</f>
        <v>345832.35000000009</v>
      </c>
    </row>
    <row r="164" spans="1:15" ht="15" thickBot="1">
      <c r="H164" s="523" t="s">
        <v>1941</v>
      </c>
      <c r="I164" s="524">
        <f>SUM(I9:I163)</f>
        <v>67861351.599999994</v>
      </c>
      <c r="J164" s="524">
        <f t="shared" ref="J164:L164" si="4">SUM(J9:J163)</f>
        <v>67861351.599999994</v>
      </c>
      <c r="K164" s="524">
        <f t="shared" si="4"/>
        <v>41858832</v>
      </c>
      <c r="L164" s="524">
        <f t="shared" si="4"/>
        <v>26002519.599999998</v>
      </c>
      <c r="M164" s="524"/>
      <c r="N164" s="266"/>
      <c r="O164" s="524">
        <f>SUM(O10:O163)</f>
        <v>26002519.599999998</v>
      </c>
    </row>
    <row r="166" spans="1:15">
      <c r="K166" s="82"/>
      <c r="L166" s="82"/>
    </row>
    <row r="167" spans="1:15">
      <c r="K167" s="82">
        <v>23082335.215180002</v>
      </c>
      <c r="L167" s="110">
        <f>L164/K167</f>
        <v>1.1265116530713732</v>
      </c>
    </row>
    <row r="168" spans="1:15">
      <c r="K168" s="82"/>
    </row>
    <row r="169" spans="1:15">
      <c r="J169" s="83"/>
      <c r="K169" s="399" t="s">
        <v>2535</v>
      </c>
      <c r="L169" s="83">
        <v>23082335.219999999</v>
      </c>
    </row>
    <row r="170" spans="1:15">
      <c r="K170" s="399" t="s">
        <v>2957</v>
      </c>
      <c r="L170" s="82">
        <v>7045000</v>
      </c>
    </row>
    <row r="171" spans="1:15">
      <c r="K171" s="399" t="s">
        <v>2929</v>
      </c>
      <c r="L171" s="82">
        <f>L169-L170</f>
        <v>16037335.219999999</v>
      </c>
      <c r="M171" s="86"/>
    </row>
    <row r="172" spans="1:15">
      <c r="K172" s="83"/>
      <c r="L172" s="266"/>
    </row>
    <row r="173" spans="1:15">
      <c r="K173" s="72" t="s">
        <v>2557</v>
      </c>
      <c r="L173" s="550">
        <v>32000000</v>
      </c>
      <c r="M173" s="86">
        <f>L164/L173</f>
        <v>0.81257873749999998</v>
      </c>
    </row>
  </sheetData>
  <autoFilter ref="A8:M164" xr:uid="{00000000-0009-0000-0000-00000A000000}"/>
  <sortState xmlns:xlrd2="http://schemas.microsoft.com/office/spreadsheetml/2017/richdata2" ref="A9:M163">
    <sortCondition ref="C9:C163"/>
  </sortState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count="1">
    <dataValidation type="list" allowBlank="1" showInputMessage="1" showErrorMessage="1" sqref="B10:B41" xr:uid="{00000000-0002-0000-0A00-000000000000}">
      <formula1>#REF!</formula1>
    </dataValidation>
  </dataValidation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13"/>
  <sheetViews>
    <sheetView showGridLines="0" workbookViewId="0">
      <selection activeCell="A5" sqref="A5:M5"/>
    </sheetView>
  </sheetViews>
  <sheetFormatPr baseColWidth="10" defaultRowHeight="14.4"/>
  <cols>
    <col min="1" max="1" width="19.33203125" style="72" bestFit="1" customWidth="1"/>
    <col min="2" max="2" width="21.6640625" style="72" customWidth="1"/>
    <col min="3" max="3" width="33.21875" style="72" customWidth="1"/>
    <col min="4" max="4" width="41.44140625" style="72" customWidth="1"/>
    <col min="5" max="5" width="17.109375" style="72" customWidth="1"/>
    <col min="6" max="6" width="11.44140625" style="72" customWidth="1"/>
    <col min="7" max="7" width="9.77734375" style="72" customWidth="1"/>
    <col min="8" max="8" width="11.77734375" style="72" customWidth="1"/>
    <col min="9" max="9" width="14.88671875" style="72" bestFit="1" customWidth="1"/>
    <col min="10" max="10" width="16.44140625" style="72" customWidth="1"/>
    <col min="11" max="12" width="15.5546875" style="72" bestFit="1" customWidth="1"/>
    <col min="13" max="13" width="16.88671875" style="72" customWidth="1"/>
    <col min="14" max="14" width="11.5546875" style="72"/>
    <col min="15" max="15" width="20.109375" style="72" bestFit="1" customWidth="1"/>
    <col min="16" max="16" width="12.88671875" style="72" bestFit="1" customWidth="1"/>
    <col min="17" max="21" width="11.5546875" style="72"/>
    <col min="22" max="22" width="38.44140625" style="72" bestFit="1" customWidth="1"/>
    <col min="23" max="23" width="29.109375" style="72" bestFit="1" customWidth="1"/>
    <col min="24" max="28" width="11.5546875" style="72"/>
    <col min="29" max="29" width="22.109375" style="72" bestFit="1" customWidth="1"/>
    <col min="30" max="30" width="30" style="72" bestFit="1" customWidth="1"/>
    <col min="31" max="16384" width="11.5546875" style="72"/>
  </cols>
  <sheetData>
    <row r="1" spans="1:30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30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30" ht="18.600000000000001" thickBot="1">
      <c r="A3" s="774" t="s">
        <v>1666</v>
      </c>
      <c r="B3" s="775"/>
      <c r="C3" s="492">
        <v>23.345400000000001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30" ht="18.600000000000001" thickBot="1">
      <c r="A4" s="747" t="s">
        <v>1665</v>
      </c>
      <c r="B4" s="776"/>
      <c r="C4" s="783" t="s">
        <v>2499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30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30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30" ht="18.600000000000001" thickBot="1">
      <c r="A7" s="753" t="s">
        <v>2498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30" ht="29.4" thickBot="1">
      <c r="A8" s="390" t="s">
        <v>9</v>
      </c>
      <c r="B8" s="390" t="s">
        <v>10</v>
      </c>
      <c r="C8" s="529" t="s">
        <v>11</v>
      </c>
      <c r="D8" s="529" t="s">
        <v>12</v>
      </c>
      <c r="E8" s="529" t="s">
        <v>13</v>
      </c>
      <c r="F8" s="529" t="s">
        <v>14</v>
      </c>
      <c r="G8" s="529" t="s">
        <v>15</v>
      </c>
      <c r="H8" s="529" t="s">
        <v>16</v>
      </c>
      <c r="I8" s="529" t="s">
        <v>17</v>
      </c>
      <c r="J8" s="529" t="s">
        <v>18</v>
      </c>
      <c r="K8" s="529" t="s">
        <v>19</v>
      </c>
      <c r="L8" s="529" t="s">
        <v>20</v>
      </c>
      <c r="M8" s="529" t="s">
        <v>21</v>
      </c>
      <c r="O8" s="454" t="s">
        <v>1090</v>
      </c>
      <c r="P8" s="455">
        <f>'BURNING COST'!F8</f>
        <v>721704</v>
      </c>
      <c r="V8" s="260" t="s">
        <v>1062</v>
      </c>
      <c r="W8" s="72" t="s">
        <v>2534</v>
      </c>
      <c r="AC8" s="531" t="s">
        <v>1062</v>
      </c>
      <c r="AD8" s="531" t="s">
        <v>2534</v>
      </c>
    </row>
    <row r="9" spans="1:30" s="399" customFormat="1" ht="12.6" thickBot="1">
      <c r="A9" s="562" t="s">
        <v>2558</v>
      </c>
      <c r="B9" s="171" t="s">
        <v>36</v>
      </c>
      <c r="C9" s="190" t="s">
        <v>2562</v>
      </c>
      <c r="D9" s="190" t="s">
        <v>2401</v>
      </c>
      <c r="E9" s="171" t="s">
        <v>33</v>
      </c>
      <c r="F9" s="173">
        <v>44296</v>
      </c>
      <c r="G9" s="173">
        <v>44328</v>
      </c>
      <c r="H9" s="173">
        <v>44379</v>
      </c>
      <c r="I9" s="533">
        <v>1500000</v>
      </c>
      <c r="J9" s="533"/>
      <c r="K9" s="533"/>
      <c r="L9" s="563"/>
      <c r="M9" s="534"/>
      <c r="O9" s="564" t="s">
        <v>1091</v>
      </c>
      <c r="V9" s="401" t="s">
        <v>2326</v>
      </c>
      <c r="W9" s="565">
        <v>4887751.4000000004</v>
      </c>
      <c r="AC9" s="401" t="s">
        <v>30</v>
      </c>
      <c r="AD9" s="566">
        <v>153000</v>
      </c>
    </row>
    <row r="10" spans="1:30" s="399" customFormat="1" ht="12">
      <c r="A10" s="562" t="s">
        <v>2559</v>
      </c>
      <c r="B10" s="567" t="s">
        <v>1917</v>
      </c>
      <c r="C10" s="190" t="s">
        <v>2562</v>
      </c>
      <c r="D10" s="190" t="s">
        <v>2401</v>
      </c>
      <c r="E10" s="171" t="s">
        <v>33</v>
      </c>
      <c r="F10" s="568">
        <v>44296</v>
      </c>
      <c r="G10" s="568">
        <v>44320</v>
      </c>
      <c r="H10" s="568">
        <v>44328</v>
      </c>
      <c r="I10" s="547">
        <v>20000</v>
      </c>
      <c r="J10" s="547"/>
      <c r="K10" s="547"/>
      <c r="L10" s="569"/>
      <c r="M10" s="534"/>
      <c r="O10" s="537">
        <f t="shared" ref="O10:O41" si="0">IF($J10&gt;P$8,$J10-P$8,0)</f>
        <v>0</v>
      </c>
      <c r="V10" s="401" t="s">
        <v>2401</v>
      </c>
      <c r="W10" s="565">
        <v>1520000</v>
      </c>
      <c r="AC10" s="401" t="s">
        <v>23</v>
      </c>
      <c r="AD10" s="566">
        <v>493387.22</v>
      </c>
    </row>
    <row r="11" spans="1:30" s="399" customFormat="1" ht="12">
      <c r="A11" s="562" t="s">
        <v>2560</v>
      </c>
      <c r="B11" s="567" t="s">
        <v>174</v>
      </c>
      <c r="C11" s="190" t="s">
        <v>2562</v>
      </c>
      <c r="D11" s="190" t="s">
        <v>2563</v>
      </c>
      <c r="E11" s="171" t="s">
        <v>33</v>
      </c>
      <c r="F11" s="568">
        <v>44296</v>
      </c>
      <c r="G11" s="568">
        <v>44320</v>
      </c>
      <c r="H11" s="568">
        <v>44379</v>
      </c>
      <c r="I11" s="547">
        <v>1000000</v>
      </c>
      <c r="J11" s="547"/>
      <c r="K11" s="547"/>
      <c r="L11" s="569"/>
      <c r="M11" s="534"/>
      <c r="O11" s="537">
        <f t="shared" si="0"/>
        <v>0</v>
      </c>
      <c r="V11" s="401" t="s">
        <v>2563</v>
      </c>
      <c r="W11" s="565">
        <v>1032500</v>
      </c>
      <c r="AC11" s="401" t="s">
        <v>174</v>
      </c>
      <c r="AD11" s="566">
        <v>10958022.040000001</v>
      </c>
    </row>
    <row r="12" spans="1:30" s="399" customFormat="1" ht="12">
      <c r="A12" s="562" t="s">
        <v>2561</v>
      </c>
      <c r="B12" s="567" t="s">
        <v>23</v>
      </c>
      <c r="C12" s="190" t="s">
        <v>2562</v>
      </c>
      <c r="D12" s="190" t="s">
        <v>2563</v>
      </c>
      <c r="E12" s="171" t="s">
        <v>33</v>
      </c>
      <c r="F12" s="568">
        <v>44296</v>
      </c>
      <c r="G12" s="568">
        <v>44320</v>
      </c>
      <c r="H12" s="568">
        <v>44328</v>
      </c>
      <c r="I12" s="547">
        <v>32500</v>
      </c>
      <c r="J12" s="547">
        <f>SUM(I9:I12)</f>
        <v>2552500</v>
      </c>
      <c r="K12" s="547">
        <v>721704</v>
      </c>
      <c r="L12" s="547">
        <f>+J12-K12</f>
        <v>1830796</v>
      </c>
      <c r="M12" s="534"/>
      <c r="O12" s="537">
        <f t="shared" si="0"/>
        <v>1830796</v>
      </c>
      <c r="V12" s="401" t="s">
        <v>2569</v>
      </c>
      <c r="W12" s="565">
        <v>966340.02</v>
      </c>
      <c r="AC12" s="401" t="s">
        <v>36</v>
      </c>
      <c r="AD12" s="566">
        <v>1979372.83</v>
      </c>
    </row>
    <row r="13" spans="1:30" s="399" customFormat="1" ht="12">
      <c r="A13" s="562" t="s">
        <v>2564</v>
      </c>
      <c r="B13" s="567" t="s">
        <v>958</v>
      </c>
      <c r="C13" s="190" t="s">
        <v>2568</v>
      </c>
      <c r="D13" s="190" t="s">
        <v>2795</v>
      </c>
      <c r="E13" s="171" t="s">
        <v>33</v>
      </c>
      <c r="F13" s="568">
        <v>44362</v>
      </c>
      <c r="G13" s="568">
        <v>44422</v>
      </c>
      <c r="H13" s="568">
        <v>44494</v>
      </c>
      <c r="I13" s="547">
        <v>20000</v>
      </c>
      <c r="J13" s="547"/>
      <c r="K13" s="547"/>
      <c r="L13" s="547"/>
      <c r="M13" s="534"/>
      <c r="O13" s="537">
        <f t="shared" si="0"/>
        <v>0</v>
      </c>
      <c r="V13" s="401" t="s">
        <v>2574</v>
      </c>
      <c r="W13" s="565">
        <v>905979.95</v>
      </c>
      <c r="AC13" s="570" t="s">
        <v>1066</v>
      </c>
      <c r="AD13" s="571">
        <f>SUM(AD9:AD12)</f>
        <v>13583782.090000002</v>
      </c>
    </row>
    <row r="14" spans="1:30" s="399" customFormat="1" ht="12">
      <c r="A14" s="562" t="s">
        <v>2565</v>
      </c>
      <c r="B14" s="567" t="s">
        <v>93</v>
      </c>
      <c r="C14" s="190" t="s">
        <v>2568</v>
      </c>
      <c r="D14" s="190" t="s">
        <v>2795</v>
      </c>
      <c r="E14" s="171" t="s">
        <v>33</v>
      </c>
      <c r="F14" s="568">
        <v>44362</v>
      </c>
      <c r="G14" s="568">
        <v>44422</v>
      </c>
      <c r="H14" s="568">
        <v>44494</v>
      </c>
      <c r="I14" s="547">
        <v>510000</v>
      </c>
      <c r="J14" s="547"/>
      <c r="K14" s="547"/>
      <c r="L14" s="547"/>
      <c r="M14" s="534"/>
      <c r="O14" s="537">
        <f t="shared" si="0"/>
        <v>0</v>
      </c>
      <c r="V14" s="401" t="s">
        <v>2578</v>
      </c>
      <c r="W14" s="565">
        <v>782080.44</v>
      </c>
    </row>
    <row r="15" spans="1:30" s="399" customFormat="1" ht="12">
      <c r="A15" s="562" t="s">
        <v>2566</v>
      </c>
      <c r="B15" s="567" t="s">
        <v>174</v>
      </c>
      <c r="C15" s="190" t="s">
        <v>2568</v>
      </c>
      <c r="D15" s="190" t="s">
        <v>2795</v>
      </c>
      <c r="E15" s="171" t="s">
        <v>33</v>
      </c>
      <c r="F15" s="568">
        <v>44362</v>
      </c>
      <c r="G15" s="568">
        <v>44422</v>
      </c>
      <c r="H15" s="568">
        <v>44522</v>
      </c>
      <c r="I15" s="547">
        <v>346298.37</v>
      </c>
      <c r="J15" s="547"/>
      <c r="K15" s="547"/>
      <c r="L15" s="547"/>
      <c r="M15" s="534"/>
      <c r="O15" s="537">
        <f t="shared" si="0"/>
        <v>0</v>
      </c>
      <c r="V15" s="401" t="s">
        <v>2581</v>
      </c>
      <c r="W15" s="565">
        <v>1489623</v>
      </c>
    </row>
    <row r="16" spans="1:30" s="399" customFormat="1" ht="12">
      <c r="A16" s="562" t="s">
        <v>2567</v>
      </c>
      <c r="B16" s="567" t="s">
        <v>23</v>
      </c>
      <c r="C16" s="190" t="s">
        <v>2568</v>
      </c>
      <c r="D16" s="190" t="s">
        <v>2795</v>
      </c>
      <c r="E16" s="171" t="s">
        <v>33</v>
      </c>
      <c r="F16" s="568">
        <v>44362</v>
      </c>
      <c r="G16" s="568">
        <v>44422</v>
      </c>
      <c r="H16" s="568">
        <v>44494</v>
      </c>
      <c r="I16" s="547">
        <v>90041.65</v>
      </c>
      <c r="J16" s="547">
        <f>SUM(I13:I16)</f>
        <v>966340.02</v>
      </c>
      <c r="K16" s="547">
        <v>721704</v>
      </c>
      <c r="L16" s="547">
        <f>+J16-K16</f>
        <v>244636.02000000002</v>
      </c>
      <c r="M16" s="534"/>
      <c r="O16" s="537">
        <f t="shared" si="0"/>
        <v>244636.02000000002</v>
      </c>
      <c r="V16" s="401" t="s">
        <v>2586</v>
      </c>
      <c r="W16" s="565">
        <v>1015000</v>
      </c>
      <c r="AC16" s="572" t="s">
        <v>1062</v>
      </c>
      <c r="AD16" s="572" t="s">
        <v>2534</v>
      </c>
    </row>
    <row r="17" spans="1:31" s="399" customFormat="1" ht="12">
      <c r="A17" s="562" t="s">
        <v>2570</v>
      </c>
      <c r="B17" s="567" t="s">
        <v>93</v>
      </c>
      <c r="C17" s="190" t="s">
        <v>2571</v>
      </c>
      <c r="D17" s="190" t="s">
        <v>2326</v>
      </c>
      <c r="E17" s="171" t="s">
        <v>33</v>
      </c>
      <c r="F17" s="568">
        <v>44426</v>
      </c>
      <c r="G17" s="568">
        <v>44459</v>
      </c>
      <c r="H17" s="568">
        <v>44526</v>
      </c>
      <c r="I17" s="547">
        <v>2010000</v>
      </c>
      <c r="J17" s="547">
        <f>+I17</f>
        <v>2010000</v>
      </c>
      <c r="K17" s="547">
        <v>721704</v>
      </c>
      <c r="L17" s="547">
        <f>+J17-K17</f>
        <v>1288296</v>
      </c>
      <c r="M17" s="534"/>
      <c r="O17" s="537">
        <f t="shared" si="0"/>
        <v>1288296</v>
      </c>
      <c r="V17" s="401" t="s">
        <v>1066</v>
      </c>
      <c r="W17" s="565">
        <v>12599274.809999999</v>
      </c>
      <c r="AC17" s="401" t="s">
        <v>2326</v>
      </c>
      <c r="AD17" s="565">
        <v>11376198.939999999</v>
      </c>
      <c r="AE17" s="573">
        <f>AD17/AD23</f>
        <v>0.8374839101972078</v>
      </c>
    </row>
    <row r="18" spans="1:31" s="399" customFormat="1" ht="12">
      <c r="A18" s="562" t="s">
        <v>2572</v>
      </c>
      <c r="B18" s="567" t="s">
        <v>174</v>
      </c>
      <c r="C18" s="190" t="s">
        <v>2573</v>
      </c>
      <c r="D18" s="190" t="s">
        <v>2574</v>
      </c>
      <c r="E18" s="171" t="s">
        <v>33</v>
      </c>
      <c r="F18" s="568">
        <v>44380</v>
      </c>
      <c r="G18" s="568">
        <v>44425</v>
      </c>
      <c r="H18" s="568">
        <v>44480</v>
      </c>
      <c r="I18" s="547">
        <v>833316.19</v>
      </c>
      <c r="J18" s="547"/>
      <c r="K18" s="547"/>
      <c r="L18" s="547"/>
      <c r="M18" s="534"/>
      <c r="O18" s="537">
        <f t="shared" si="0"/>
        <v>0</v>
      </c>
      <c r="AC18" s="401"/>
      <c r="AD18" s="565"/>
      <c r="AE18" s="573"/>
    </row>
    <row r="19" spans="1:31" s="399" customFormat="1" ht="12">
      <c r="A19" s="562" t="s">
        <v>2575</v>
      </c>
      <c r="B19" s="567" t="s">
        <v>23</v>
      </c>
      <c r="C19" s="190" t="s">
        <v>2573</v>
      </c>
      <c r="D19" s="190" t="s">
        <v>2574</v>
      </c>
      <c r="E19" s="171" t="s">
        <v>33</v>
      </c>
      <c r="F19" s="568">
        <v>44380</v>
      </c>
      <c r="G19" s="568">
        <v>44425</v>
      </c>
      <c r="H19" s="568">
        <v>44517</v>
      </c>
      <c r="I19" s="547">
        <v>72663.759999999995</v>
      </c>
      <c r="J19" s="547">
        <f>+I19+I18</f>
        <v>905979.95</v>
      </c>
      <c r="K19" s="547">
        <v>721704</v>
      </c>
      <c r="L19" s="547">
        <f>+J19-K19</f>
        <v>184275.94999999995</v>
      </c>
      <c r="M19" s="534"/>
      <c r="O19" s="537">
        <f t="shared" si="0"/>
        <v>184275.94999999995</v>
      </c>
      <c r="AC19" s="401"/>
      <c r="AD19" s="565"/>
      <c r="AE19" s="573"/>
    </row>
    <row r="20" spans="1:31" s="399" customFormat="1" ht="12">
      <c r="A20" s="562" t="s">
        <v>2576</v>
      </c>
      <c r="B20" s="567" t="s">
        <v>23</v>
      </c>
      <c r="C20" s="190" t="s">
        <v>2293</v>
      </c>
      <c r="D20" s="190" t="s">
        <v>2578</v>
      </c>
      <c r="E20" s="171" t="s">
        <v>33</v>
      </c>
      <c r="F20" s="568">
        <v>44324</v>
      </c>
      <c r="G20" s="568">
        <v>44336</v>
      </c>
      <c r="H20" s="568">
        <v>44392</v>
      </c>
      <c r="I20" s="547">
        <v>104500</v>
      </c>
      <c r="J20" s="547"/>
      <c r="K20" s="547"/>
      <c r="L20" s="547"/>
      <c r="M20" s="534"/>
      <c r="O20" s="537">
        <f t="shared" si="0"/>
        <v>0</v>
      </c>
      <c r="AC20" s="401"/>
      <c r="AD20" s="565"/>
      <c r="AE20" s="573"/>
    </row>
    <row r="21" spans="1:31" s="399" customFormat="1" ht="12">
      <c r="A21" s="562" t="s">
        <v>2577</v>
      </c>
      <c r="B21" s="567" t="s">
        <v>174</v>
      </c>
      <c r="C21" s="190" t="s">
        <v>2293</v>
      </c>
      <c r="D21" s="190" t="s">
        <v>2578</v>
      </c>
      <c r="E21" s="171" t="s">
        <v>33</v>
      </c>
      <c r="F21" s="568">
        <v>44324</v>
      </c>
      <c r="G21" s="568">
        <v>44392</v>
      </c>
      <c r="H21" s="568">
        <v>44501</v>
      </c>
      <c r="I21" s="547">
        <v>677580.44</v>
      </c>
      <c r="J21" s="547">
        <f>+I21+I20</f>
        <v>782080.44</v>
      </c>
      <c r="K21" s="547">
        <v>721704</v>
      </c>
      <c r="L21" s="547">
        <f>+J21-K21</f>
        <v>60376.439999999944</v>
      </c>
      <c r="M21" s="534"/>
      <c r="O21" s="537">
        <f t="shared" si="0"/>
        <v>60376.439999999944</v>
      </c>
      <c r="AC21" s="401" t="s">
        <v>1891</v>
      </c>
      <c r="AD21" s="565">
        <v>1417000</v>
      </c>
      <c r="AE21" s="573">
        <f>AD21/AD23</f>
        <v>0.10431557209999384</v>
      </c>
    </row>
    <row r="22" spans="1:31" s="399" customFormat="1" ht="12">
      <c r="A22" s="562" t="s">
        <v>2500</v>
      </c>
      <c r="B22" s="567" t="s">
        <v>174</v>
      </c>
      <c r="C22" s="190" t="s">
        <v>2501</v>
      </c>
      <c r="D22" s="190" t="s">
        <v>2326</v>
      </c>
      <c r="E22" s="171" t="s">
        <v>33</v>
      </c>
      <c r="F22" s="568">
        <v>44214</v>
      </c>
      <c r="G22" s="568">
        <v>44279</v>
      </c>
      <c r="H22" s="568">
        <v>44313</v>
      </c>
      <c r="I22" s="547">
        <v>880000</v>
      </c>
      <c r="J22" s="547">
        <f>+I22</f>
        <v>880000</v>
      </c>
      <c r="K22" s="547">
        <v>721704</v>
      </c>
      <c r="L22" s="547">
        <f>+J22-K22</f>
        <v>158296</v>
      </c>
      <c r="M22" s="534"/>
      <c r="O22" s="537">
        <f t="shared" si="0"/>
        <v>158296</v>
      </c>
      <c r="AC22" s="401" t="s">
        <v>38</v>
      </c>
      <c r="AD22" s="565">
        <v>790583.15</v>
      </c>
      <c r="AE22" s="573">
        <f>AD22/AD23</f>
        <v>5.8200517702798341E-2</v>
      </c>
    </row>
    <row r="23" spans="1:31" s="399" customFormat="1" ht="12">
      <c r="A23" s="562" t="s">
        <v>2579</v>
      </c>
      <c r="B23" s="567" t="s">
        <v>174</v>
      </c>
      <c r="C23" s="190" t="s">
        <v>2580</v>
      </c>
      <c r="D23" s="190" t="s">
        <v>2581</v>
      </c>
      <c r="E23" s="171" t="s">
        <v>33</v>
      </c>
      <c r="F23" s="568">
        <v>44350</v>
      </c>
      <c r="G23" s="568">
        <v>44424</v>
      </c>
      <c r="H23" s="568">
        <v>44558</v>
      </c>
      <c r="I23" s="547">
        <v>1489623</v>
      </c>
      <c r="J23" s="547">
        <f>+I23</f>
        <v>1489623</v>
      </c>
      <c r="K23" s="547">
        <v>721704</v>
      </c>
      <c r="L23" s="547">
        <f>+J23-K23</f>
        <v>767919</v>
      </c>
      <c r="M23" s="534"/>
      <c r="O23" s="537">
        <f t="shared" si="0"/>
        <v>767919</v>
      </c>
      <c r="AC23" s="570" t="s">
        <v>1066</v>
      </c>
      <c r="AD23" s="574">
        <f>SUM(AD17:AD22)</f>
        <v>13583782.09</v>
      </c>
    </row>
    <row r="24" spans="1:31" s="399" customFormat="1" ht="12">
      <c r="A24" s="562" t="s">
        <v>2502</v>
      </c>
      <c r="B24" s="567" t="s">
        <v>174</v>
      </c>
      <c r="C24" s="190" t="s">
        <v>2503</v>
      </c>
      <c r="D24" s="190" t="s">
        <v>2326</v>
      </c>
      <c r="E24" s="171" t="s">
        <v>33</v>
      </c>
      <c r="F24" s="568">
        <v>44213</v>
      </c>
      <c r="G24" s="568">
        <v>44228</v>
      </c>
      <c r="H24" s="568">
        <v>44314</v>
      </c>
      <c r="I24" s="547">
        <v>830820.96</v>
      </c>
      <c r="J24" s="547">
        <f>+I24</f>
        <v>830820.96</v>
      </c>
      <c r="K24" s="547">
        <v>721704</v>
      </c>
      <c r="L24" s="547">
        <f>+J24-K24</f>
        <v>109116.95999999996</v>
      </c>
      <c r="M24" s="534"/>
      <c r="O24" s="537">
        <f t="shared" si="0"/>
        <v>109116.95999999996</v>
      </c>
    </row>
    <row r="25" spans="1:31" s="399" customFormat="1" ht="12">
      <c r="A25" s="562" t="s">
        <v>2504</v>
      </c>
      <c r="B25" s="567" t="s">
        <v>174</v>
      </c>
      <c r="C25" s="190" t="s">
        <v>2505</v>
      </c>
      <c r="D25" s="190" t="s">
        <v>2326</v>
      </c>
      <c r="E25" s="171" t="s">
        <v>33</v>
      </c>
      <c r="F25" s="568">
        <v>44281</v>
      </c>
      <c r="G25" s="568">
        <v>44307</v>
      </c>
      <c r="H25" s="568">
        <v>44344</v>
      </c>
      <c r="I25" s="547">
        <v>1079430.44</v>
      </c>
      <c r="J25" s="547"/>
      <c r="K25" s="547"/>
      <c r="L25" s="547"/>
      <c r="M25" s="534"/>
      <c r="O25" s="537">
        <f t="shared" si="0"/>
        <v>0</v>
      </c>
    </row>
    <row r="26" spans="1:31" s="399" customFormat="1" ht="12">
      <c r="A26" s="562" t="s">
        <v>2506</v>
      </c>
      <c r="B26" s="567" t="s">
        <v>23</v>
      </c>
      <c r="C26" s="190" t="s">
        <v>2505</v>
      </c>
      <c r="D26" s="190" t="s">
        <v>2326</v>
      </c>
      <c r="E26" s="171" t="s">
        <v>33</v>
      </c>
      <c r="F26" s="568">
        <v>44281</v>
      </c>
      <c r="G26" s="568">
        <v>44307</v>
      </c>
      <c r="H26" s="568">
        <v>44344</v>
      </c>
      <c r="I26" s="547">
        <v>87500</v>
      </c>
      <c r="J26" s="547">
        <f>+I26+I25</f>
        <v>1166930.44</v>
      </c>
      <c r="K26" s="547">
        <v>721704</v>
      </c>
      <c r="L26" s="547">
        <f>+J26-K26</f>
        <v>445226.43999999994</v>
      </c>
      <c r="M26" s="534"/>
      <c r="O26" s="537">
        <f t="shared" si="0"/>
        <v>445226.43999999994</v>
      </c>
    </row>
    <row r="27" spans="1:31" s="399" customFormat="1" ht="12">
      <c r="A27" s="562" t="s">
        <v>2582</v>
      </c>
      <c r="B27" s="567" t="s">
        <v>93</v>
      </c>
      <c r="C27" s="190" t="s">
        <v>2585</v>
      </c>
      <c r="D27" s="190" t="s">
        <v>2586</v>
      </c>
      <c r="E27" s="171" t="s">
        <v>33</v>
      </c>
      <c r="F27" s="568">
        <v>44220</v>
      </c>
      <c r="G27" s="568">
        <v>44420</v>
      </c>
      <c r="H27" s="568">
        <v>44473</v>
      </c>
      <c r="I27" s="547">
        <v>1015000</v>
      </c>
      <c r="J27" s="547"/>
      <c r="K27" s="547"/>
      <c r="L27" s="547"/>
      <c r="M27" s="534"/>
      <c r="O27" s="537">
        <f t="shared" si="0"/>
        <v>0</v>
      </c>
    </row>
    <row r="28" spans="1:31" s="399" customFormat="1" ht="12">
      <c r="A28" s="562" t="s">
        <v>2583</v>
      </c>
      <c r="B28" s="567" t="s">
        <v>1917</v>
      </c>
      <c r="C28" s="190" t="s">
        <v>2585</v>
      </c>
      <c r="D28" s="190" t="s">
        <v>2586</v>
      </c>
      <c r="E28" s="171" t="s">
        <v>33</v>
      </c>
      <c r="F28" s="568">
        <v>44220</v>
      </c>
      <c r="G28" s="568">
        <v>44420</v>
      </c>
      <c r="H28" s="568">
        <v>44473</v>
      </c>
      <c r="I28" s="547">
        <v>50000</v>
      </c>
      <c r="J28" s="547"/>
      <c r="K28" s="547"/>
      <c r="L28" s="547"/>
      <c r="M28" s="534"/>
      <c r="O28" s="537">
        <f t="shared" si="0"/>
        <v>0</v>
      </c>
    </row>
    <row r="29" spans="1:31" s="399" customFormat="1" ht="12">
      <c r="A29" s="562" t="s">
        <v>2584</v>
      </c>
      <c r="B29" s="567" t="s">
        <v>23</v>
      </c>
      <c r="C29" s="190" t="s">
        <v>2585</v>
      </c>
      <c r="D29" s="190" t="s">
        <v>2586</v>
      </c>
      <c r="E29" s="171" t="s">
        <v>33</v>
      </c>
      <c r="F29" s="568">
        <v>44220</v>
      </c>
      <c r="G29" s="568">
        <v>44420</v>
      </c>
      <c r="H29" s="568">
        <v>44473</v>
      </c>
      <c r="I29" s="547">
        <v>110000</v>
      </c>
      <c r="J29" s="547"/>
      <c r="K29" s="547"/>
      <c r="L29" s="547"/>
      <c r="M29" s="534"/>
      <c r="O29" s="537">
        <f t="shared" si="0"/>
        <v>0</v>
      </c>
    </row>
    <row r="30" spans="1:31" s="399" customFormat="1" ht="12">
      <c r="A30" s="562" t="s">
        <v>2587</v>
      </c>
      <c r="B30" s="567" t="s">
        <v>174</v>
      </c>
      <c r="C30" s="190" t="s">
        <v>2585</v>
      </c>
      <c r="D30" s="190" t="s">
        <v>2586</v>
      </c>
      <c r="E30" s="171" t="s">
        <v>33</v>
      </c>
      <c r="F30" s="568">
        <v>44220</v>
      </c>
      <c r="G30" s="568">
        <v>44420</v>
      </c>
      <c r="H30" s="568">
        <v>44512</v>
      </c>
      <c r="I30" s="547">
        <v>320000</v>
      </c>
      <c r="J30" s="547">
        <f>SUM(I27:I30)</f>
        <v>1495000</v>
      </c>
      <c r="K30" s="547">
        <v>721704</v>
      </c>
      <c r="L30" s="547">
        <f>+J30-K30</f>
        <v>773296</v>
      </c>
      <c r="M30" s="534"/>
      <c r="O30" s="537">
        <f t="shared" si="0"/>
        <v>773296</v>
      </c>
    </row>
    <row r="31" spans="1:31" s="399" customFormat="1" ht="12">
      <c r="A31" s="562" t="s">
        <v>2588</v>
      </c>
      <c r="B31" s="567" t="s">
        <v>174</v>
      </c>
      <c r="C31" s="190" t="s">
        <v>2590</v>
      </c>
      <c r="D31" s="190" t="s">
        <v>2591</v>
      </c>
      <c r="E31" s="171" t="s">
        <v>33</v>
      </c>
      <c r="F31" s="568">
        <v>44242</v>
      </c>
      <c r="G31" s="568">
        <v>44323</v>
      </c>
      <c r="H31" s="568">
        <v>44376</v>
      </c>
      <c r="I31" s="547">
        <v>605688.92000000004</v>
      </c>
      <c r="J31" s="547"/>
      <c r="K31" s="547"/>
      <c r="L31" s="547"/>
      <c r="M31" s="534"/>
      <c r="O31" s="537">
        <f t="shared" si="0"/>
        <v>0</v>
      </c>
    </row>
    <row r="32" spans="1:31" s="399" customFormat="1" ht="12">
      <c r="A32" s="562" t="s">
        <v>2589</v>
      </c>
      <c r="B32" s="567" t="s">
        <v>23</v>
      </c>
      <c r="C32" s="190" t="s">
        <v>2590</v>
      </c>
      <c r="D32" s="190" t="s">
        <v>2591</v>
      </c>
      <c r="E32" s="171" t="s">
        <v>33</v>
      </c>
      <c r="F32" s="568">
        <v>44242</v>
      </c>
      <c r="G32" s="568">
        <v>44323</v>
      </c>
      <c r="H32" s="568">
        <v>44371</v>
      </c>
      <c r="I32" s="547">
        <v>248919.45</v>
      </c>
      <c r="J32" s="547"/>
      <c r="K32" s="547"/>
      <c r="L32" s="547"/>
      <c r="M32" s="534"/>
      <c r="O32" s="537">
        <f t="shared" si="0"/>
        <v>0</v>
      </c>
    </row>
    <row r="33" spans="1:15" s="399" customFormat="1" ht="12">
      <c r="A33" s="562" t="s">
        <v>2588</v>
      </c>
      <c r="B33" s="567" t="s">
        <v>174</v>
      </c>
      <c r="C33" s="190" t="s">
        <v>2590</v>
      </c>
      <c r="D33" s="190" t="s">
        <v>2591</v>
      </c>
      <c r="E33" s="171" t="s">
        <v>33</v>
      </c>
      <c r="F33" s="568">
        <v>44242</v>
      </c>
      <c r="G33" s="568">
        <v>44323</v>
      </c>
      <c r="H33" s="568">
        <v>44376</v>
      </c>
      <c r="I33" s="547">
        <v>50415.76</v>
      </c>
      <c r="J33" s="547">
        <f>+I33+I32+I31</f>
        <v>905024.13000000012</v>
      </c>
      <c r="K33" s="547">
        <v>721704</v>
      </c>
      <c r="L33" s="547">
        <f>+J33-K33</f>
        <v>183320.13000000012</v>
      </c>
      <c r="M33" s="534"/>
      <c r="O33" s="537">
        <f t="shared" si="0"/>
        <v>183320.13000000012</v>
      </c>
    </row>
    <row r="34" spans="1:15" s="399" customFormat="1" ht="12">
      <c r="A34" s="562" t="s">
        <v>2705</v>
      </c>
      <c r="B34" s="567" t="s">
        <v>174</v>
      </c>
      <c r="C34" s="190" t="s">
        <v>2706</v>
      </c>
      <c r="D34" s="190" t="s">
        <v>2326</v>
      </c>
      <c r="E34" s="171" t="s">
        <v>33</v>
      </c>
      <c r="F34" s="568">
        <v>44385</v>
      </c>
      <c r="G34" s="568">
        <v>44421</v>
      </c>
      <c r="H34" s="568">
        <v>44650</v>
      </c>
      <c r="I34" s="547">
        <v>1447086.31</v>
      </c>
      <c r="J34" s="547">
        <f>+I34</f>
        <v>1447086.31</v>
      </c>
      <c r="K34" s="547">
        <v>721704</v>
      </c>
      <c r="L34" s="547">
        <f>+J34-K34</f>
        <v>725382.31</v>
      </c>
      <c r="M34" s="534"/>
      <c r="O34" s="537">
        <f t="shared" si="0"/>
        <v>725382.31</v>
      </c>
    </row>
    <row r="35" spans="1:15" s="399" customFormat="1" ht="12">
      <c r="A35" s="562" t="s">
        <v>2507</v>
      </c>
      <c r="B35" s="567" t="s">
        <v>174</v>
      </c>
      <c r="C35" s="190" t="s">
        <v>2508</v>
      </c>
      <c r="D35" s="190" t="s">
        <v>2326</v>
      </c>
      <c r="E35" s="171" t="s">
        <v>33</v>
      </c>
      <c r="F35" s="568">
        <v>44293</v>
      </c>
      <c r="G35" s="568">
        <v>44327</v>
      </c>
      <c r="H35" s="568">
        <v>44371</v>
      </c>
      <c r="I35" s="547">
        <v>1826151.12</v>
      </c>
      <c r="J35" s="547"/>
      <c r="K35" s="547"/>
      <c r="L35" s="547"/>
      <c r="M35" s="534"/>
      <c r="O35" s="537">
        <f t="shared" si="0"/>
        <v>0</v>
      </c>
    </row>
    <row r="36" spans="1:15" s="399" customFormat="1" ht="12">
      <c r="A36" s="562" t="s">
        <v>2509</v>
      </c>
      <c r="B36" s="567" t="s">
        <v>23</v>
      </c>
      <c r="C36" s="190" t="s">
        <v>2508</v>
      </c>
      <c r="D36" s="190" t="s">
        <v>2326</v>
      </c>
      <c r="E36" s="171" t="s">
        <v>33</v>
      </c>
      <c r="F36" s="568">
        <v>44293</v>
      </c>
      <c r="G36" s="568">
        <v>44327</v>
      </c>
      <c r="H36" s="568">
        <v>44361</v>
      </c>
      <c r="I36" s="547">
        <v>12355.98</v>
      </c>
      <c r="J36" s="547"/>
      <c r="K36" s="547"/>
      <c r="L36" s="547"/>
      <c r="M36" s="534"/>
      <c r="O36" s="537">
        <f t="shared" si="0"/>
        <v>0</v>
      </c>
    </row>
    <row r="37" spans="1:15" s="399" customFormat="1" ht="12">
      <c r="A37" s="562" t="s">
        <v>2592</v>
      </c>
      <c r="B37" s="567" t="s">
        <v>23</v>
      </c>
      <c r="C37" s="190" t="s">
        <v>2508</v>
      </c>
      <c r="D37" s="190" t="s">
        <v>2574</v>
      </c>
      <c r="E37" s="171" t="s">
        <v>33</v>
      </c>
      <c r="F37" s="568">
        <v>44293</v>
      </c>
      <c r="G37" s="568">
        <v>44336</v>
      </c>
      <c r="H37" s="568">
        <v>44393</v>
      </c>
      <c r="I37" s="547">
        <v>34143.61</v>
      </c>
      <c r="J37" s="547"/>
      <c r="K37" s="547"/>
      <c r="L37" s="547"/>
      <c r="M37" s="534"/>
      <c r="O37" s="537">
        <f t="shared" si="0"/>
        <v>0</v>
      </c>
    </row>
    <row r="38" spans="1:15" s="399" customFormat="1" ht="12">
      <c r="A38" s="562" t="s">
        <v>2593</v>
      </c>
      <c r="B38" s="567" t="s">
        <v>174</v>
      </c>
      <c r="C38" s="190" t="s">
        <v>2508</v>
      </c>
      <c r="D38" s="190" t="s">
        <v>2574</v>
      </c>
      <c r="E38" s="171" t="s">
        <v>33</v>
      </c>
      <c r="F38" s="568">
        <v>44293</v>
      </c>
      <c r="G38" s="568">
        <v>44336</v>
      </c>
      <c r="H38" s="568">
        <v>44482</v>
      </c>
      <c r="I38" s="547">
        <v>1220000</v>
      </c>
      <c r="J38" s="547">
        <f>SUM(I35:I38)</f>
        <v>3092650.71</v>
      </c>
      <c r="K38" s="547">
        <v>721704</v>
      </c>
      <c r="L38" s="547">
        <f>+J38-K38</f>
        <v>2370946.71</v>
      </c>
      <c r="M38" s="534"/>
      <c r="O38" s="537">
        <f t="shared" si="0"/>
        <v>2370946.71</v>
      </c>
    </row>
    <row r="39" spans="1:15" s="399" customFormat="1" ht="12">
      <c r="A39" s="562" t="s">
        <v>2510</v>
      </c>
      <c r="B39" s="567" t="s">
        <v>174</v>
      </c>
      <c r="C39" s="190" t="s">
        <v>2511</v>
      </c>
      <c r="D39" s="190" t="s">
        <v>38</v>
      </c>
      <c r="E39" s="171" t="s">
        <v>33</v>
      </c>
      <c r="F39" s="568">
        <v>44262</v>
      </c>
      <c r="G39" s="568">
        <v>44294</v>
      </c>
      <c r="H39" s="568">
        <v>44368</v>
      </c>
      <c r="I39" s="547">
        <v>790583.15</v>
      </c>
      <c r="J39" s="547">
        <f>+I39</f>
        <v>790583.15</v>
      </c>
      <c r="K39" s="547">
        <v>721704</v>
      </c>
      <c r="L39" s="547">
        <f>+J39-K39</f>
        <v>68879.150000000023</v>
      </c>
      <c r="M39" s="534"/>
      <c r="O39" s="537">
        <f t="shared" si="0"/>
        <v>68879.150000000023</v>
      </c>
    </row>
    <row r="40" spans="1:15" s="399" customFormat="1" ht="12">
      <c r="A40" s="562" t="s">
        <v>2512</v>
      </c>
      <c r="B40" s="567" t="s">
        <v>174</v>
      </c>
      <c r="C40" s="190" t="s">
        <v>2513</v>
      </c>
      <c r="D40" s="190" t="s">
        <v>2326</v>
      </c>
      <c r="E40" s="171" t="s">
        <v>33</v>
      </c>
      <c r="F40" s="568">
        <v>44202</v>
      </c>
      <c r="G40" s="568">
        <v>44264</v>
      </c>
      <c r="H40" s="568">
        <v>44285</v>
      </c>
      <c r="I40" s="547">
        <v>1084496.8</v>
      </c>
      <c r="J40" s="547">
        <f>I40</f>
        <v>1084496.8</v>
      </c>
      <c r="K40" s="547">
        <v>721704</v>
      </c>
      <c r="L40" s="547">
        <f>+J40-K40</f>
        <v>362792.80000000005</v>
      </c>
      <c r="M40" s="534"/>
      <c r="O40" s="537">
        <f t="shared" si="0"/>
        <v>362792.80000000005</v>
      </c>
    </row>
    <row r="41" spans="1:15" s="399" customFormat="1" ht="12">
      <c r="A41" s="562" t="s">
        <v>2594</v>
      </c>
      <c r="B41" s="567" t="s">
        <v>23</v>
      </c>
      <c r="C41" s="190" t="s">
        <v>2596</v>
      </c>
      <c r="D41" s="190" t="s">
        <v>54</v>
      </c>
      <c r="E41" s="171" t="s">
        <v>33</v>
      </c>
      <c r="F41" s="568">
        <v>44261</v>
      </c>
      <c r="G41" s="568">
        <v>44313</v>
      </c>
      <c r="H41" s="568">
        <v>44370</v>
      </c>
      <c r="I41" s="547">
        <v>9060.32</v>
      </c>
      <c r="J41" s="547"/>
      <c r="K41" s="547"/>
      <c r="L41" s="547"/>
      <c r="M41" s="534"/>
      <c r="O41" s="537">
        <f t="shared" si="0"/>
        <v>0</v>
      </c>
    </row>
    <row r="42" spans="1:15" s="399" customFormat="1" ht="12">
      <c r="A42" s="562" t="s">
        <v>2595</v>
      </c>
      <c r="B42" s="567" t="s">
        <v>174</v>
      </c>
      <c r="C42" s="190" t="s">
        <v>2596</v>
      </c>
      <c r="D42" s="190" t="s">
        <v>54</v>
      </c>
      <c r="E42" s="171" t="s">
        <v>33</v>
      </c>
      <c r="F42" s="568">
        <v>44261</v>
      </c>
      <c r="G42" s="568">
        <v>44340</v>
      </c>
      <c r="H42" s="568">
        <v>44445</v>
      </c>
      <c r="I42" s="547">
        <v>921786.29</v>
      </c>
      <c r="J42" s="547">
        <f>+I42+I41</f>
        <v>930846.61</v>
      </c>
      <c r="K42" s="547">
        <v>721704</v>
      </c>
      <c r="L42" s="547">
        <f>+J42-K42</f>
        <v>209142.61</v>
      </c>
      <c r="M42" s="534"/>
      <c r="O42" s="537">
        <f t="shared" ref="O42:O73" si="1">IF($J42&gt;P$8,$J42-P$8,0)</f>
        <v>209142.61</v>
      </c>
    </row>
    <row r="43" spans="1:15" s="399" customFormat="1" ht="12">
      <c r="A43" s="562" t="s">
        <v>2514</v>
      </c>
      <c r="B43" s="567" t="s">
        <v>36</v>
      </c>
      <c r="C43" s="190" t="s">
        <v>2515</v>
      </c>
      <c r="D43" s="190" t="s">
        <v>2326</v>
      </c>
      <c r="E43" s="171" t="s">
        <v>33</v>
      </c>
      <c r="F43" s="568">
        <v>44237</v>
      </c>
      <c r="G43" s="568">
        <v>44281</v>
      </c>
      <c r="H43" s="568">
        <v>44376</v>
      </c>
      <c r="I43" s="547">
        <v>1979372.83</v>
      </c>
      <c r="J43" s="547">
        <f>+I43</f>
        <v>1979372.83</v>
      </c>
      <c r="K43" s="547">
        <v>721704</v>
      </c>
      <c r="L43" s="547">
        <f>+J43-K43</f>
        <v>1257668.83</v>
      </c>
      <c r="M43" s="534"/>
      <c r="O43" s="537">
        <f t="shared" si="1"/>
        <v>1257668.83</v>
      </c>
    </row>
    <row r="44" spans="1:15" s="399" customFormat="1" ht="12">
      <c r="A44" s="562" t="s">
        <v>2597</v>
      </c>
      <c r="B44" s="567" t="s">
        <v>23</v>
      </c>
      <c r="C44" s="190" t="s">
        <v>2600</v>
      </c>
      <c r="D44" s="190" t="s">
        <v>2326</v>
      </c>
      <c r="E44" s="171" t="s">
        <v>33</v>
      </c>
      <c r="F44" s="568">
        <v>44380</v>
      </c>
      <c r="G44" s="568">
        <v>44399</v>
      </c>
      <c r="H44" s="568">
        <v>44452</v>
      </c>
      <c r="I44" s="547">
        <v>7700</v>
      </c>
      <c r="J44" s="547"/>
      <c r="K44" s="547"/>
      <c r="L44" s="547"/>
      <c r="M44" s="534"/>
      <c r="O44" s="537">
        <f t="shared" si="1"/>
        <v>0</v>
      </c>
    </row>
    <row r="45" spans="1:15" s="399" customFormat="1" ht="12">
      <c r="A45" s="562" t="s">
        <v>2598</v>
      </c>
      <c r="B45" s="567" t="s">
        <v>174</v>
      </c>
      <c r="C45" s="190" t="s">
        <v>2600</v>
      </c>
      <c r="D45" s="190" t="s">
        <v>2326</v>
      </c>
      <c r="E45" s="171" t="s">
        <v>33</v>
      </c>
      <c r="F45" s="568">
        <v>44380</v>
      </c>
      <c r="G45" s="568">
        <v>44474</v>
      </c>
      <c r="H45" s="568">
        <v>44531</v>
      </c>
      <c r="I45" s="547">
        <v>785000</v>
      </c>
      <c r="J45" s="547"/>
      <c r="K45" s="547"/>
      <c r="L45" s="547"/>
      <c r="M45" s="534"/>
      <c r="O45" s="537">
        <f t="shared" si="1"/>
        <v>0</v>
      </c>
    </row>
    <row r="46" spans="1:15" s="399" customFormat="1" ht="12">
      <c r="A46" s="562" t="s">
        <v>2599</v>
      </c>
      <c r="B46" s="567" t="s">
        <v>23</v>
      </c>
      <c r="C46" s="190" t="s">
        <v>2600</v>
      </c>
      <c r="D46" s="190" t="s">
        <v>2326</v>
      </c>
      <c r="E46" s="171" t="s">
        <v>33</v>
      </c>
      <c r="F46" s="568">
        <v>44380</v>
      </c>
      <c r="G46" s="568">
        <v>44474</v>
      </c>
      <c r="H46" s="568">
        <v>44531</v>
      </c>
      <c r="I46" s="547">
        <v>90000</v>
      </c>
      <c r="J46" s="547">
        <f>+I46+I45+I44</f>
        <v>882700</v>
      </c>
      <c r="K46" s="547">
        <v>721704</v>
      </c>
      <c r="L46" s="547">
        <f>+J46-K46</f>
        <v>160996</v>
      </c>
      <c r="M46" s="534"/>
      <c r="O46" s="537">
        <f t="shared" si="1"/>
        <v>160996</v>
      </c>
    </row>
    <row r="47" spans="1:15" s="399" customFormat="1" ht="12">
      <c r="A47" s="562" t="s">
        <v>2601</v>
      </c>
      <c r="B47" s="567" t="s">
        <v>174</v>
      </c>
      <c r="C47" s="190" t="s">
        <v>2604</v>
      </c>
      <c r="D47" s="190" t="s">
        <v>2605</v>
      </c>
      <c r="E47" s="171" t="s">
        <v>33</v>
      </c>
      <c r="F47" s="568">
        <v>44276</v>
      </c>
      <c r="G47" s="568">
        <v>44421</v>
      </c>
      <c r="H47" s="568">
        <v>44495</v>
      </c>
      <c r="I47" s="547">
        <v>155000</v>
      </c>
      <c r="J47" s="547"/>
      <c r="K47" s="547"/>
      <c r="L47" s="547"/>
      <c r="M47" s="534"/>
      <c r="O47" s="537">
        <f t="shared" si="1"/>
        <v>0</v>
      </c>
    </row>
    <row r="48" spans="1:15" s="399" customFormat="1" ht="12">
      <c r="A48" s="562" t="s">
        <v>2602</v>
      </c>
      <c r="B48" s="567" t="s">
        <v>174</v>
      </c>
      <c r="C48" s="190" t="s">
        <v>2604</v>
      </c>
      <c r="D48" s="190" t="s">
        <v>2605</v>
      </c>
      <c r="E48" s="171" t="s">
        <v>33</v>
      </c>
      <c r="F48" s="568">
        <v>44276</v>
      </c>
      <c r="G48" s="568">
        <v>44411</v>
      </c>
      <c r="H48" s="568">
        <v>44487</v>
      </c>
      <c r="I48" s="547">
        <v>621000</v>
      </c>
      <c r="J48" s="547"/>
      <c r="K48" s="547"/>
      <c r="L48" s="547"/>
      <c r="M48" s="534"/>
      <c r="O48" s="537">
        <f t="shared" si="1"/>
        <v>0</v>
      </c>
    </row>
    <row r="49" spans="1:15" s="399" customFormat="1" ht="12">
      <c r="A49" s="562" t="s">
        <v>2603</v>
      </c>
      <c r="B49" s="567" t="s">
        <v>23</v>
      </c>
      <c r="C49" s="190" t="s">
        <v>2604</v>
      </c>
      <c r="D49" s="190" t="s">
        <v>2605</v>
      </c>
      <c r="E49" s="171" t="s">
        <v>33</v>
      </c>
      <c r="F49" s="568">
        <v>44276</v>
      </c>
      <c r="G49" s="568">
        <v>44411</v>
      </c>
      <c r="H49" s="568">
        <v>44470</v>
      </c>
      <c r="I49" s="547">
        <v>165000</v>
      </c>
      <c r="J49" s="547">
        <f>+I49+I48+I47</f>
        <v>941000</v>
      </c>
      <c r="K49" s="547">
        <v>721704</v>
      </c>
      <c r="L49" s="547">
        <f>+J49-K49</f>
        <v>219296</v>
      </c>
      <c r="M49" s="534"/>
      <c r="O49" s="537">
        <f t="shared" si="1"/>
        <v>219296</v>
      </c>
    </row>
    <row r="50" spans="1:15" s="399" customFormat="1" ht="12">
      <c r="A50" s="562" t="s">
        <v>2606</v>
      </c>
      <c r="B50" s="567" t="s">
        <v>174</v>
      </c>
      <c r="C50" s="190" t="s">
        <v>2608</v>
      </c>
      <c r="D50" s="190" t="s">
        <v>2609</v>
      </c>
      <c r="E50" s="171" t="s">
        <v>33</v>
      </c>
      <c r="F50" s="568">
        <v>44208</v>
      </c>
      <c r="G50" s="568">
        <v>44221</v>
      </c>
      <c r="H50" s="568">
        <v>44403</v>
      </c>
      <c r="I50" s="547">
        <v>643000</v>
      </c>
      <c r="J50" s="547"/>
      <c r="K50" s="547"/>
      <c r="L50" s="547"/>
      <c r="M50" s="534"/>
      <c r="O50" s="537">
        <f t="shared" si="1"/>
        <v>0</v>
      </c>
    </row>
    <row r="51" spans="1:15" s="399" customFormat="1" ht="12">
      <c r="A51" s="562" t="s">
        <v>2607</v>
      </c>
      <c r="B51" s="567" t="s">
        <v>23</v>
      </c>
      <c r="C51" s="190" t="s">
        <v>2608</v>
      </c>
      <c r="D51" s="190" t="s">
        <v>2609</v>
      </c>
      <c r="E51" s="171" t="s">
        <v>33</v>
      </c>
      <c r="F51" s="568">
        <v>44208</v>
      </c>
      <c r="G51" s="568">
        <v>44221</v>
      </c>
      <c r="H51" s="568">
        <v>44253</v>
      </c>
      <c r="I51" s="547">
        <v>114207.76</v>
      </c>
      <c r="J51" s="547">
        <f>+I51+I50</f>
        <v>757207.76</v>
      </c>
      <c r="K51" s="547">
        <v>721704</v>
      </c>
      <c r="L51" s="547">
        <f>+J51-K51</f>
        <v>35503.760000000009</v>
      </c>
      <c r="M51" s="534"/>
      <c r="O51" s="537">
        <f t="shared" si="1"/>
        <v>35503.760000000009</v>
      </c>
    </row>
    <row r="52" spans="1:15" s="399" customFormat="1" ht="12">
      <c r="A52" s="575" t="s">
        <v>2677</v>
      </c>
      <c r="B52" s="576" t="s">
        <v>174</v>
      </c>
      <c r="C52" s="577" t="s">
        <v>2679</v>
      </c>
      <c r="D52" s="190" t="s">
        <v>230</v>
      </c>
      <c r="E52" s="171" t="s">
        <v>26</v>
      </c>
      <c r="F52" s="578">
        <v>44286</v>
      </c>
      <c r="G52" s="578">
        <v>44474</v>
      </c>
      <c r="H52" s="578">
        <v>44531</v>
      </c>
      <c r="I52" s="547">
        <v>710000</v>
      </c>
      <c r="J52" s="547"/>
      <c r="K52" s="547"/>
      <c r="L52" s="547"/>
      <c r="M52" s="534"/>
      <c r="O52" s="537">
        <f t="shared" si="1"/>
        <v>0</v>
      </c>
    </row>
    <row r="53" spans="1:15" s="399" customFormat="1" ht="12">
      <c r="A53" s="575" t="s">
        <v>2678</v>
      </c>
      <c r="B53" s="576" t="s">
        <v>23</v>
      </c>
      <c r="C53" s="577" t="s">
        <v>2679</v>
      </c>
      <c r="D53" s="190" t="s">
        <v>230</v>
      </c>
      <c r="E53" s="171" t="s">
        <v>26</v>
      </c>
      <c r="F53" s="578">
        <v>44286</v>
      </c>
      <c r="G53" s="578">
        <v>44474</v>
      </c>
      <c r="H53" s="578">
        <v>44686</v>
      </c>
      <c r="I53" s="547">
        <v>92881.32</v>
      </c>
      <c r="J53" s="547">
        <f>+I53+I52</f>
        <v>802881.32000000007</v>
      </c>
      <c r="K53" s="547">
        <v>721704</v>
      </c>
      <c r="L53" s="547">
        <f>+J53-K53</f>
        <v>81177.320000000065</v>
      </c>
      <c r="M53" s="534"/>
      <c r="O53" s="537">
        <f t="shared" si="1"/>
        <v>81177.320000000065</v>
      </c>
    </row>
    <row r="54" spans="1:15" s="399" customFormat="1" ht="12">
      <c r="A54" s="562" t="s">
        <v>2610</v>
      </c>
      <c r="B54" s="567" t="s">
        <v>174</v>
      </c>
      <c r="C54" s="190" t="s">
        <v>2612</v>
      </c>
      <c r="D54" s="190" t="s">
        <v>2613</v>
      </c>
      <c r="E54" s="171" t="s">
        <v>33</v>
      </c>
      <c r="F54" s="568">
        <v>44274</v>
      </c>
      <c r="G54" s="568">
        <v>44328</v>
      </c>
      <c r="H54" s="568">
        <v>44376</v>
      </c>
      <c r="I54" s="547">
        <v>1499920.02</v>
      </c>
      <c r="J54" s="547"/>
      <c r="K54" s="547"/>
      <c r="L54" s="547"/>
      <c r="M54" s="534"/>
      <c r="O54" s="537">
        <f t="shared" si="1"/>
        <v>0</v>
      </c>
    </row>
    <row r="55" spans="1:15" s="399" customFormat="1" ht="12">
      <c r="A55" s="562" t="s">
        <v>2611</v>
      </c>
      <c r="B55" s="567" t="s">
        <v>23</v>
      </c>
      <c r="C55" s="190" t="s">
        <v>2612</v>
      </c>
      <c r="D55" s="190" t="s">
        <v>2614</v>
      </c>
      <c r="E55" s="171" t="s">
        <v>33</v>
      </c>
      <c r="F55" s="568">
        <v>44274</v>
      </c>
      <c r="G55" s="568">
        <v>44328</v>
      </c>
      <c r="H55" s="568">
        <v>44376</v>
      </c>
      <c r="I55" s="547">
        <v>71642.720000000001</v>
      </c>
      <c r="J55" s="547">
        <f>+I55+I54</f>
        <v>1571562.74</v>
      </c>
      <c r="K55" s="547">
        <v>721704</v>
      </c>
      <c r="L55" s="547">
        <f>+J55-K55</f>
        <v>849858.74</v>
      </c>
      <c r="M55" s="534"/>
      <c r="O55" s="537">
        <f t="shared" si="1"/>
        <v>849858.74</v>
      </c>
    </row>
    <row r="56" spans="1:15" s="399" customFormat="1" ht="12">
      <c r="A56" s="562" t="s">
        <v>2686</v>
      </c>
      <c r="B56" s="567" t="s">
        <v>245</v>
      </c>
      <c r="C56" s="190" t="s">
        <v>2692</v>
      </c>
      <c r="D56" s="190" t="s">
        <v>2693</v>
      </c>
      <c r="E56" s="171" t="s">
        <v>33</v>
      </c>
      <c r="F56" s="568">
        <v>44356</v>
      </c>
      <c r="G56" s="568">
        <v>44447</v>
      </c>
      <c r="H56" s="568">
        <v>44581</v>
      </c>
      <c r="I56" s="547">
        <v>1210000</v>
      </c>
      <c r="J56" s="547"/>
      <c r="K56" s="547"/>
      <c r="L56" s="547"/>
      <c r="M56" s="534"/>
      <c r="O56" s="537">
        <f t="shared" si="1"/>
        <v>0</v>
      </c>
    </row>
    <row r="57" spans="1:15" s="399" customFormat="1" ht="12">
      <c r="A57" s="562" t="s">
        <v>2687</v>
      </c>
      <c r="B57" s="567" t="s">
        <v>1917</v>
      </c>
      <c r="C57" s="190" t="s">
        <v>2692</v>
      </c>
      <c r="D57" s="190" t="s">
        <v>2693</v>
      </c>
      <c r="E57" s="171" t="s">
        <v>33</v>
      </c>
      <c r="F57" s="568">
        <v>44356</v>
      </c>
      <c r="G57" s="568">
        <v>44462</v>
      </c>
      <c r="H57" s="568">
        <v>44522</v>
      </c>
      <c r="I57" s="547">
        <v>7000</v>
      </c>
      <c r="J57" s="547"/>
      <c r="K57" s="547"/>
      <c r="L57" s="547"/>
      <c r="M57" s="534"/>
      <c r="O57" s="537">
        <f t="shared" si="1"/>
        <v>0</v>
      </c>
    </row>
    <row r="58" spans="1:15" s="399" customFormat="1" ht="12">
      <c r="A58" s="562" t="s">
        <v>2688</v>
      </c>
      <c r="B58" s="567" t="s">
        <v>174</v>
      </c>
      <c r="C58" s="190" t="s">
        <v>2692</v>
      </c>
      <c r="D58" s="190" t="s">
        <v>2693</v>
      </c>
      <c r="E58" s="171" t="s">
        <v>33</v>
      </c>
      <c r="F58" s="568">
        <v>44356</v>
      </c>
      <c r="G58" s="568">
        <v>44447</v>
      </c>
      <c r="H58" s="568">
        <v>44501</v>
      </c>
      <c r="I58" s="547">
        <v>100000</v>
      </c>
      <c r="J58" s="547"/>
      <c r="K58" s="547"/>
      <c r="L58" s="547"/>
      <c r="M58" s="534"/>
      <c r="O58" s="537">
        <f t="shared" si="1"/>
        <v>0</v>
      </c>
    </row>
    <row r="59" spans="1:15" s="399" customFormat="1" ht="12">
      <c r="A59" s="562" t="s">
        <v>2689</v>
      </c>
      <c r="B59" s="567" t="s">
        <v>174</v>
      </c>
      <c r="C59" s="190" t="s">
        <v>2692</v>
      </c>
      <c r="D59" s="190" t="s">
        <v>2693</v>
      </c>
      <c r="E59" s="171" t="s">
        <v>33</v>
      </c>
      <c r="F59" s="568">
        <v>44356</v>
      </c>
      <c r="G59" s="568">
        <v>44462</v>
      </c>
      <c r="H59" s="568">
        <v>44543</v>
      </c>
      <c r="I59" s="547">
        <v>100000</v>
      </c>
      <c r="J59" s="547"/>
      <c r="K59" s="547"/>
      <c r="L59" s="547"/>
      <c r="M59" s="534"/>
      <c r="O59" s="537">
        <f t="shared" si="1"/>
        <v>0</v>
      </c>
    </row>
    <row r="60" spans="1:15" s="399" customFormat="1" ht="12">
      <c r="A60" s="562" t="s">
        <v>2690</v>
      </c>
      <c r="B60" s="567" t="s">
        <v>23</v>
      </c>
      <c r="C60" s="190" t="s">
        <v>2692</v>
      </c>
      <c r="D60" s="190" t="s">
        <v>2693</v>
      </c>
      <c r="E60" s="171" t="s">
        <v>33</v>
      </c>
      <c r="F60" s="568">
        <v>44356</v>
      </c>
      <c r="G60" s="568">
        <v>44447</v>
      </c>
      <c r="H60" s="568">
        <v>44501</v>
      </c>
      <c r="I60" s="547">
        <v>35000</v>
      </c>
      <c r="J60" s="547"/>
      <c r="K60" s="547"/>
      <c r="L60" s="547"/>
      <c r="M60" s="534"/>
      <c r="O60" s="537">
        <f t="shared" si="1"/>
        <v>0</v>
      </c>
    </row>
    <row r="61" spans="1:15" s="399" customFormat="1" ht="12">
      <c r="A61" s="562" t="s">
        <v>2691</v>
      </c>
      <c r="B61" s="567" t="s">
        <v>23</v>
      </c>
      <c r="C61" s="190" t="s">
        <v>2692</v>
      </c>
      <c r="D61" s="190" t="s">
        <v>2693</v>
      </c>
      <c r="E61" s="171" t="s">
        <v>33</v>
      </c>
      <c r="F61" s="568">
        <v>44356</v>
      </c>
      <c r="G61" s="568">
        <v>44462</v>
      </c>
      <c r="H61" s="568">
        <v>44568</v>
      </c>
      <c r="I61" s="547">
        <v>14500</v>
      </c>
      <c r="J61" s="547">
        <f>+I61+I60+I59+I58+I57+I56</f>
        <v>1466500</v>
      </c>
      <c r="K61" s="547">
        <v>721704</v>
      </c>
      <c r="L61" s="547">
        <f>+J61-K61</f>
        <v>744796</v>
      </c>
      <c r="M61" s="534"/>
      <c r="O61" s="537">
        <f t="shared" si="1"/>
        <v>744796</v>
      </c>
    </row>
    <row r="62" spans="1:15" s="399" customFormat="1" ht="12">
      <c r="A62" s="562" t="s">
        <v>2615</v>
      </c>
      <c r="B62" s="567" t="s">
        <v>30</v>
      </c>
      <c r="C62" s="190" t="s">
        <v>2618</v>
      </c>
      <c r="D62" s="190" t="s">
        <v>2401</v>
      </c>
      <c r="E62" s="171" t="s">
        <v>33</v>
      </c>
      <c r="F62" s="568">
        <v>44231</v>
      </c>
      <c r="G62" s="568">
        <v>44331</v>
      </c>
      <c r="H62" s="568">
        <v>44377</v>
      </c>
      <c r="I62" s="547">
        <v>153000</v>
      </c>
      <c r="J62" s="547"/>
      <c r="K62" s="547"/>
      <c r="L62" s="547"/>
      <c r="M62" s="534"/>
      <c r="O62" s="537">
        <f t="shared" si="1"/>
        <v>0</v>
      </c>
    </row>
    <row r="63" spans="1:15" s="399" customFormat="1" ht="12">
      <c r="A63" s="562" t="s">
        <v>2616</v>
      </c>
      <c r="B63" s="567" t="s">
        <v>174</v>
      </c>
      <c r="C63" s="190" t="s">
        <v>2618</v>
      </c>
      <c r="D63" s="190" t="s">
        <v>2401</v>
      </c>
      <c r="E63" s="171" t="s">
        <v>33</v>
      </c>
      <c r="F63" s="568">
        <v>44231</v>
      </c>
      <c r="G63" s="568">
        <v>44331</v>
      </c>
      <c r="H63" s="568">
        <v>44393</v>
      </c>
      <c r="I63" s="547">
        <v>250000</v>
      </c>
      <c r="J63" s="547"/>
      <c r="K63" s="547"/>
      <c r="L63" s="547"/>
      <c r="M63" s="534"/>
      <c r="O63" s="537">
        <f t="shared" si="1"/>
        <v>0</v>
      </c>
    </row>
    <row r="64" spans="1:15" s="399" customFormat="1" ht="12">
      <c r="A64" s="562" t="s">
        <v>2617</v>
      </c>
      <c r="B64" s="567" t="s">
        <v>174</v>
      </c>
      <c r="C64" s="190" t="s">
        <v>2618</v>
      </c>
      <c r="D64" s="190" t="s">
        <v>2401</v>
      </c>
      <c r="E64" s="171" t="s">
        <v>33</v>
      </c>
      <c r="F64" s="568">
        <v>44231</v>
      </c>
      <c r="G64" s="568">
        <v>44331</v>
      </c>
      <c r="H64" s="568">
        <v>44393</v>
      </c>
      <c r="I64" s="547">
        <v>412358.15</v>
      </c>
      <c r="J64" s="547">
        <f>+I62+I63+I64</f>
        <v>815358.15</v>
      </c>
      <c r="K64" s="547">
        <v>721704</v>
      </c>
      <c r="L64" s="547">
        <f>+J64-K64</f>
        <v>93654.150000000023</v>
      </c>
      <c r="M64" s="534"/>
      <c r="O64" s="537">
        <f t="shared" si="1"/>
        <v>93654.150000000023</v>
      </c>
    </row>
    <row r="65" spans="1:15" s="399" customFormat="1" ht="12">
      <c r="A65" s="562" t="s">
        <v>2619</v>
      </c>
      <c r="B65" s="567" t="s">
        <v>174</v>
      </c>
      <c r="C65" s="190" t="s">
        <v>2621</v>
      </c>
      <c r="D65" s="190" t="s">
        <v>2622</v>
      </c>
      <c r="E65" s="171" t="s">
        <v>33</v>
      </c>
      <c r="F65" s="568">
        <v>44319</v>
      </c>
      <c r="G65" s="568">
        <v>44411</v>
      </c>
      <c r="H65" s="568">
        <v>44459</v>
      </c>
      <c r="I65" s="547">
        <v>633000</v>
      </c>
      <c r="J65" s="547"/>
      <c r="K65" s="547"/>
      <c r="L65" s="547"/>
      <c r="M65" s="534"/>
      <c r="O65" s="537">
        <f t="shared" si="1"/>
        <v>0</v>
      </c>
    </row>
    <row r="66" spans="1:15" s="399" customFormat="1" ht="12">
      <c r="A66" s="562" t="s">
        <v>2620</v>
      </c>
      <c r="B66" s="567" t="s">
        <v>23</v>
      </c>
      <c r="C66" s="190" t="s">
        <v>2621</v>
      </c>
      <c r="D66" s="190" t="s">
        <v>2622</v>
      </c>
      <c r="E66" s="171" t="s">
        <v>33</v>
      </c>
      <c r="F66" s="568">
        <v>44319</v>
      </c>
      <c r="G66" s="568">
        <v>44411</v>
      </c>
      <c r="H66" s="568">
        <v>44459</v>
      </c>
      <c r="I66" s="547">
        <v>165000</v>
      </c>
      <c r="J66" s="547">
        <f>+I66+I65</f>
        <v>798000</v>
      </c>
      <c r="K66" s="547">
        <v>721704</v>
      </c>
      <c r="L66" s="547">
        <f>+J66-K66</f>
        <v>76296</v>
      </c>
      <c r="M66" s="534"/>
      <c r="O66" s="537">
        <f t="shared" si="1"/>
        <v>76296</v>
      </c>
    </row>
    <row r="67" spans="1:15" s="399" customFormat="1" ht="12">
      <c r="A67" s="562" t="s">
        <v>2623</v>
      </c>
      <c r="B67" s="567" t="s">
        <v>30</v>
      </c>
      <c r="C67" s="190" t="s">
        <v>2625</v>
      </c>
      <c r="D67" s="190" t="s">
        <v>2626</v>
      </c>
      <c r="E67" s="171" t="s">
        <v>33</v>
      </c>
      <c r="F67" s="568">
        <v>44324</v>
      </c>
      <c r="G67" s="568">
        <v>44419</v>
      </c>
      <c r="H67" s="568">
        <v>44474</v>
      </c>
      <c r="I67" s="547">
        <v>57500</v>
      </c>
      <c r="J67" s="547"/>
      <c r="K67" s="547"/>
      <c r="L67" s="547"/>
      <c r="M67" s="534"/>
      <c r="O67" s="537">
        <f t="shared" si="1"/>
        <v>0</v>
      </c>
    </row>
    <row r="68" spans="1:15" s="399" customFormat="1" ht="12">
      <c r="A68" s="562" t="s">
        <v>2624</v>
      </c>
      <c r="B68" s="567" t="s">
        <v>174</v>
      </c>
      <c r="C68" s="190" t="s">
        <v>2625</v>
      </c>
      <c r="D68" s="190" t="s">
        <v>2626</v>
      </c>
      <c r="E68" s="171" t="s">
        <v>33</v>
      </c>
      <c r="F68" s="568">
        <v>44324</v>
      </c>
      <c r="G68" s="568">
        <v>44419</v>
      </c>
      <c r="H68" s="568">
        <v>44484</v>
      </c>
      <c r="I68" s="547">
        <v>2966694.45</v>
      </c>
      <c r="J68" s="547">
        <f>+I68+I67</f>
        <v>3024194.45</v>
      </c>
      <c r="K68" s="547">
        <v>721704</v>
      </c>
      <c r="L68" s="547">
        <f>+J68-K68</f>
        <v>2302490.4500000002</v>
      </c>
      <c r="M68" s="534"/>
      <c r="O68" s="537">
        <f t="shared" si="1"/>
        <v>2302490.4500000002</v>
      </c>
    </row>
    <row r="69" spans="1:15" s="399" customFormat="1" ht="12">
      <c r="A69" s="562" t="s">
        <v>2516</v>
      </c>
      <c r="B69" s="567" t="s">
        <v>174</v>
      </c>
      <c r="C69" s="190" t="s">
        <v>2517</v>
      </c>
      <c r="D69" s="190" t="s">
        <v>2326</v>
      </c>
      <c r="E69" s="171" t="s">
        <v>33</v>
      </c>
      <c r="F69" s="568">
        <v>44274</v>
      </c>
      <c r="G69" s="568">
        <v>44314</v>
      </c>
      <c r="H69" s="568">
        <v>44370</v>
      </c>
      <c r="I69" s="547">
        <v>640000</v>
      </c>
      <c r="J69" s="547"/>
      <c r="K69" s="547"/>
      <c r="L69" s="547"/>
      <c r="M69" s="534"/>
      <c r="O69" s="537">
        <f t="shared" si="1"/>
        <v>0</v>
      </c>
    </row>
    <row r="70" spans="1:15" s="399" customFormat="1" ht="12">
      <c r="A70" s="562" t="s">
        <v>2518</v>
      </c>
      <c r="B70" s="567" t="s">
        <v>23</v>
      </c>
      <c r="C70" s="190" t="s">
        <v>2517</v>
      </c>
      <c r="D70" s="190" t="s">
        <v>2326</v>
      </c>
      <c r="E70" s="171" t="s">
        <v>33</v>
      </c>
      <c r="F70" s="568">
        <v>44274</v>
      </c>
      <c r="G70" s="568">
        <v>44314</v>
      </c>
      <c r="H70" s="568">
        <v>44370</v>
      </c>
      <c r="I70" s="547">
        <v>165000</v>
      </c>
      <c r="J70" s="547"/>
      <c r="K70" s="547"/>
      <c r="L70" s="547"/>
      <c r="M70" s="534"/>
      <c r="O70" s="537">
        <f t="shared" si="1"/>
        <v>0</v>
      </c>
    </row>
    <row r="71" spans="1:15" s="399" customFormat="1" ht="12">
      <c r="A71" s="562" t="s">
        <v>2516</v>
      </c>
      <c r="B71" s="567" t="s">
        <v>174</v>
      </c>
      <c r="C71" s="190" t="s">
        <v>2517</v>
      </c>
      <c r="D71" s="190" t="s">
        <v>2326</v>
      </c>
      <c r="E71" s="171" t="s">
        <v>33</v>
      </c>
      <c r="F71" s="568">
        <v>44274</v>
      </c>
      <c r="G71" s="568">
        <v>44314</v>
      </c>
      <c r="H71" s="568">
        <v>44385</v>
      </c>
      <c r="I71" s="547">
        <v>54300</v>
      </c>
      <c r="J71" s="547"/>
      <c r="K71" s="547"/>
      <c r="L71" s="547"/>
      <c r="M71" s="534"/>
      <c r="O71" s="537">
        <f t="shared" si="1"/>
        <v>0</v>
      </c>
    </row>
    <row r="72" spans="1:15" s="399" customFormat="1" ht="12">
      <c r="A72" s="562" t="s">
        <v>2627</v>
      </c>
      <c r="B72" s="567" t="s">
        <v>93</v>
      </c>
      <c r="C72" s="190" t="s">
        <v>2517</v>
      </c>
      <c r="D72" s="190" t="s">
        <v>2326</v>
      </c>
      <c r="E72" s="171" t="s">
        <v>33</v>
      </c>
      <c r="F72" s="568">
        <v>44274</v>
      </c>
      <c r="G72" s="568">
        <v>44379</v>
      </c>
      <c r="H72" s="568">
        <v>44417</v>
      </c>
      <c r="I72" s="547">
        <v>40000</v>
      </c>
      <c r="J72" s="547">
        <f>SUM(I69:I72)</f>
        <v>899300</v>
      </c>
      <c r="K72" s="547">
        <v>721704</v>
      </c>
      <c r="L72" s="547">
        <f>+J72-K72</f>
        <v>177596</v>
      </c>
      <c r="M72" s="534"/>
      <c r="O72" s="537">
        <f t="shared" si="1"/>
        <v>177596</v>
      </c>
    </row>
    <row r="73" spans="1:15" s="399" customFormat="1" ht="12">
      <c r="A73" s="562" t="s">
        <v>2628</v>
      </c>
      <c r="B73" s="567" t="s">
        <v>93</v>
      </c>
      <c r="C73" s="190" t="s">
        <v>2632</v>
      </c>
      <c r="D73" s="190" t="s">
        <v>2633</v>
      </c>
      <c r="E73" s="171" t="s">
        <v>33</v>
      </c>
      <c r="F73" s="568">
        <v>44387</v>
      </c>
      <c r="G73" s="568">
        <v>44470</v>
      </c>
      <c r="H73" s="568">
        <v>44482</v>
      </c>
      <c r="I73" s="547">
        <v>205000</v>
      </c>
      <c r="J73" s="547"/>
      <c r="K73" s="547"/>
      <c r="L73" s="547"/>
      <c r="M73" s="534"/>
      <c r="O73" s="537">
        <f t="shared" si="1"/>
        <v>0</v>
      </c>
    </row>
    <row r="74" spans="1:15" s="399" customFormat="1" ht="12">
      <c r="A74" s="562" t="s">
        <v>2629</v>
      </c>
      <c r="B74" s="567" t="s">
        <v>93</v>
      </c>
      <c r="C74" s="190" t="s">
        <v>2632</v>
      </c>
      <c r="D74" s="190" t="s">
        <v>2633</v>
      </c>
      <c r="E74" s="171" t="s">
        <v>33</v>
      </c>
      <c r="F74" s="568">
        <v>44387</v>
      </c>
      <c r="G74" s="568">
        <v>44489</v>
      </c>
      <c r="H74" s="568">
        <v>44531</v>
      </c>
      <c r="I74" s="547">
        <v>1002500</v>
      </c>
      <c r="J74" s="547"/>
      <c r="K74" s="547"/>
      <c r="L74" s="547"/>
      <c r="M74" s="534"/>
      <c r="O74" s="537">
        <f t="shared" ref="O74:O93" si="2">IF($J74&gt;P$8,$J74-P$8,0)</f>
        <v>0</v>
      </c>
    </row>
    <row r="75" spans="1:15" s="399" customFormat="1" ht="12">
      <c r="A75" s="562" t="s">
        <v>2630</v>
      </c>
      <c r="B75" s="567" t="s">
        <v>1917</v>
      </c>
      <c r="C75" s="190" t="s">
        <v>2632</v>
      </c>
      <c r="D75" s="190" t="s">
        <v>2633</v>
      </c>
      <c r="E75" s="171" t="s">
        <v>33</v>
      </c>
      <c r="F75" s="568">
        <v>44387</v>
      </c>
      <c r="G75" s="568">
        <v>44470</v>
      </c>
      <c r="H75" s="568">
        <v>44482</v>
      </c>
      <c r="I75" s="547">
        <v>7000</v>
      </c>
      <c r="J75" s="547"/>
      <c r="K75" s="547"/>
      <c r="L75" s="547"/>
      <c r="M75" s="534"/>
      <c r="O75" s="537">
        <f t="shared" si="2"/>
        <v>0</v>
      </c>
    </row>
    <row r="76" spans="1:15" s="399" customFormat="1" ht="12">
      <c r="A76" s="562" t="s">
        <v>2631</v>
      </c>
      <c r="B76" s="567" t="s">
        <v>23</v>
      </c>
      <c r="C76" s="190" t="s">
        <v>2632</v>
      </c>
      <c r="D76" s="190" t="s">
        <v>2633</v>
      </c>
      <c r="E76" s="171" t="s">
        <v>33</v>
      </c>
      <c r="F76" s="568">
        <v>44387</v>
      </c>
      <c r="G76" s="568">
        <v>44470</v>
      </c>
      <c r="H76" s="568">
        <v>44482</v>
      </c>
      <c r="I76" s="547">
        <v>14500</v>
      </c>
      <c r="J76" s="547">
        <f>+I73+I74+I75+I76</f>
        <v>1229000</v>
      </c>
      <c r="K76" s="547">
        <v>721704</v>
      </c>
      <c r="L76" s="547">
        <f>+J76-K76</f>
        <v>507296</v>
      </c>
      <c r="M76" s="534"/>
      <c r="O76" s="537">
        <f t="shared" si="2"/>
        <v>507296</v>
      </c>
    </row>
    <row r="77" spans="1:15" s="399" customFormat="1" ht="12">
      <c r="A77" s="562" t="s">
        <v>2519</v>
      </c>
      <c r="B77" s="567" t="s">
        <v>174</v>
      </c>
      <c r="C77" s="190" t="s">
        <v>2520</v>
      </c>
      <c r="D77" s="190" t="s">
        <v>1891</v>
      </c>
      <c r="E77" s="171" t="s">
        <v>33</v>
      </c>
      <c r="F77" s="568">
        <v>44202</v>
      </c>
      <c r="G77" s="568">
        <v>44257</v>
      </c>
      <c r="H77" s="568">
        <v>44284</v>
      </c>
      <c r="I77" s="547">
        <v>105000</v>
      </c>
      <c r="J77" s="547"/>
      <c r="K77" s="547"/>
      <c r="L77" s="547"/>
      <c r="M77" s="534"/>
      <c r="O77" s="537">
        <f t="shared" si="2"/>
        <v>0</v>
      </c>
    </row>
    <row r="78" spans="1:15" s="399" customFormat="1" ht="12">
      <c r="A78" s="562" t="s">
        <v>2521</v>
      </c>
      <c r="B78" s="567" t="s">
        <v>174</v>
      </c>
      <c r="C78" s="190" t="s">
        <v>2520</v>
      </c>
      <c r="D78" s="190" t="s">
        <v>1891</v>
      </c>
      <c r="E78" s="171" t="s">
        <v>33</v>
      </c>
      <c r="F78" s="568">
        <v>44202</v>
      </c>
      <c r="G78" s="568">
        <v>44215</v>
      </c>
      <c r="H78" s="568">
        <v>44356</v>
      </c>
      <c r="I78" s="547">
        <v>1147000</v>
      </c>
      <c r="J78" s="547"/>
      <c r="K78" s="547"/>
      <c r="L78" s="547"/>
      <c r="M78" s="534"/>
      <c r="O78" s="537">
        <f t="shared" si="2"/>
        <v>0</v>
      </c>
    </row>
    <row r="79" spans="1:15" s="399" customFormat="1" ht="12">
      <c r="A79" s="562" t="s">
        <v>2522</v>
      </c>
      <c r="B79" s="567" t="s">
        <v>23</v>
      </c>
      <c r="C79" s="190" t="s">
        <v>2520</v>
      </c>
      <c r="D79" s="190" t="s">
        <v>1891</v>
      </c>
      <c r="E79" s="171" t="s">
        <v>33</v>
      </c>
      <c r="F79" s="568">
        <v>44202</v>
      </c>
      <c r="G79" s="568">
        <v>44246</v>
      </c>
      <c r="H79" s="568">
        <v>44354</v>
      </c>
      <c r="I79" s="547">
        <v>165000</v>
      </c>
      <c r="J79" s="547">
        <f>SUM(I77:I79)</f>
        <v>1417000</v>
      </c>
      <c r="K79" s="547">
        <v>721704</v>
      </c>
      <c r="L79" s="547">
        <f>+J79-K79</f>
        <v>695296</v>
      </c>
      <c r="M79" s="534"/>
      <c r="O79" s="537">
        <f t="shared" si="2"/>
        <v>695296</v>
      </c>
    </row>
    <row r="80" spans="1:15" s="399" customFormat="1" ht="12">
      <c r="A80" s="575" t="s">
        <v>2638</v>
      </c>
      <c r="B80" s="576" t="s">
        <v>174</v>
      </c>
      <c r="C80" s="577" t="s">
        <v>2639</v>
      </c>
      <c r="D80" s="190" t="s">
        <v>2637</v>
      </c>
      <c r="E80" s="171" t="s">
        <v>33</v>
      </c>
      <c r="F80" s="578">
        <v>44399</v>
      </c>
      <c r="G80" s="578">
        <v>44440</v>
      </c>
      <c r="H80" s="578">
        <v>44558</v>
      </c>
      <c r="I80" s="547">
        <v>5959970.4199999999</v>
      </c>
      <c r="J80" s="547">
        <f>+I80</f>
        <v>5959970.4199999999</v>
      </c>
      <c r="K80" s="547">
        <v>721704</v>
      </c>
      <c r="L80" s="547">
        <f>+J80-K80</f>
        <v>5238266.42</v>
      </c>
      <c r="M80" s="534"/>
      <c r="O80" s="537">
        <f t="shared" si="2"/>
        <v>5238266.42</v>
      </c>
    </row>
    <row r="81" spans="1:15" s="399" customFormat="1" ht="12">
      <c r="A81" s="575" t="s">
        <v>2640</v>
      </c>
      <c r="B81" s="576" t="s">
        <v>1917</v>
      </c>
      <c r="C81" s="577" t="s">
        <v>2643</v>
      </c>
      <c r="D81" s="190" t="s">
        <v>2644</v>
      </c>
      <c r="E81" s="171" t="s">
        <v>33</v>
      </c>
      <c r="F81" s="578">
        <v>44279</v>
      </c>
      <c r="G81" s="578">
        <v>44351</v>
      </c>
      <c r="H81" s="578">
        <v>44417</v>
      </c>
      <c r="I81" s="547">
        <v>30000</v>
      </c>
      <c r="J81" s="547"/>
      <c r="K81" s="547"/>
      <c r="L81" s="547"/>
      <c r="M81" s="534"/>
      <c r="O81" s="537">
        <f t="shared" si="2"/>
        <v>0</v>
      </c>
    </row>
    <row r="82" spans="1:15" s="399" customFormat="1" ht="12">
      <c r="A82" s="575" t="s">
        <v>2641</v>
      </c>
      <c r="B82" s="579" t="s">
        <v>174</v>
      </c>
      <c r="C82" s="577" t="s">
        <v>2643</v>
      </c>
      <c r="D82" s="190" t="s">
        <v>2645</v>
      </c>
      <c r="E82" s="171" t="s">
        <v>33</v>
      </c>
      <c r="F82" s="580">
        <v>44279</v>
      </c>
      <c r="G82" s="580">
        <v>44351</v>
      </c>
      <c r="H82" s="580">
        <v>44417</v>
      </c>
      <c r="I82" s="536">
        <v>3109746.83</v>
      </c>
      <c r="J82" s="547"/>
      <c r="K82" s="547"/>
      <c r="L82" s="547"/>
      <c r="M82" s="534"/>
      <c r="O82" s="537">
        <f t="shared" si="2"/>
        <v>0</v>
      </c>
    </row>
    <row r="83" spans="1:15" s="399" customFormat="1" ht="12">
      <c r="A83" s="575" t="s">
        <v>2642</v>
      </c>
      <c r="B83" s="579" t="s">
        <v>23</v>
      </c>
      <c r="C83" s="577" t="s">
        <v>2643</v>
      </c>
      <c r="D83" s="190" t="s">
        <v>2644</v>
      </c>
      <c r="E83" s="171" t="s">
        <v>33</v>
      </c>
      <c r="F83" s="580">
        <v>44279</v>
      </c>
      <c r="G83" s="580">
        <v>44351</v>
      </c>
      <c r="H83" s="580">
        <v>44417</v>
      </c>
      <c r="I83" s="536">
        <v>654191.12</v>
      </c>
      <c r="J83" s="547"/>
      <c r="K83" s="547"/>
      <c r="L83" s="547"/>
      <c r="M83" s="534"/>
      <c r="O83" s="537">
        <f t="shared" si="2"/>
        <v>0</v>
      </c>
    </row>
    <row r="84" spans="1:15" s="399" customFormat="1" ht="12">
      <c r="A84" s="575" t="s">
        <v>2641</v>
      </c>
      <c r="B84" s="579" t="s">
        <v>174</v>
      </c>
      <c r="C84" s="577" t="s">
        <v>2643</v>
      </c>
      <c r="D84" s="190" t="s">
        <v>2645</v>
      </c>
      <c r="E84" s="171" t="s">
        <v>33</v>
      </c>
      <c r="F84" s="580">
        <v>44279</v>
      </c>
      <c r="G84" s="580">
        <v>44351</v>
      </c>
      <c r="H84" s="580">
        <v>44470</v>
      </c>
      <c r="I84" s="536">
        <v>516253.17</v>
      </c>
      <c r="J84" s="547">
        <f>+I81+I82+I83+I84</f>
        <v>4310191.12</v>
      </c>
      <c r="K84" s="547">
        <v>721704</v>
      </c>
      <c r="L84" s="547">
        <f>+J84-K84</f>
        <v>3588487.12</v>
      </c>
      <c r="M84" s="534"/>
      <c r="O84" s="537">
        <f t="shared" si="2"/>
        <v>3588487.12</v>
      </c>
    </row>
    <row r="85" spans="1:15" s="399" customFormat="1" ht="12">
      <c r="A85" s="562" t="s">
        <v>2523</v>
      </c>
      <c r="B85" s="171" t="s">
        <v>174</v>
      </c>
      <c r="C85" s="190" t="s">
        <v>2524</v>
      </c>
      <c r="D85" s="190" t="s">
        <v>2326</v>
      </c>
      <c r="E85" s="171" t="s">
        <v>33</v>
      </c>
      <c r="F85" s="173">
        <v>44220</v>
      </c>
      <c r="G85" s="173">
        <v>44260</v>
      </c>
      <c r="H85" s="173">
        <v>44341</v>
      </c>
      <c r="I85" s="536">
        <v>967288.77</v>
      </c>
      <c r="J85" s="547"/>
      <c r="K85" s="547"/>
      <c r="L85" s="547"/>
      <c r="M85" s="534"/>
      <c r="O85" s="537">
        <f t="shared" si="2"/>
        <v>0</v>
      </c>
    </row>
    <row r="86" spans="1:15" s="399" customFormat="1" ht="12">
      <c r="A86" s="562" t="s">
        <v>2525</v>
      </c>
      <c r="B86" s="171" t="s">
        <v>23</v>
      </c>
      <c r="C86" s="190" t="s">
        <v>2524</v>
      </c>
      <c r="D86" s="190" t="s">
        <v>2326</v>
      </c>
      <c r="E86" s="171" t="s">
        <v>33</v>
      </c>
      <c r="F86" s="173">
        <v>44220</v>
      </c>
      <c r="G86" s="173">
        <v>44260</v>
      </c>
      <c r="H86" s="173">
        <v>44315</v>
      </c>
      <c r="I86" s="536">
        <v>63531.24</v>
      </c>
      <c r="J86" s="547">
        <f>+I86+I85</f>
        <v>1030820.01</v>
      </c>
      <c r="K86" s="547">
        <v>721704</v>
      </c>
      <c r="L86" s="547">
        <f>+J86-K86</f>
        <v>309116.01</v>
      </c>
      <c r="M86" s="534"/>
      <c r="O86" s="537">
        <f t="shared" si="2"/>
        <v>309116.01</v>
      </c>
    </row>
    <row r="87" spans="1:15" s="399" customFormat="1" ht="12">
      <c r="A87" s="575" t="s">
        <v>2646</v>
      </c>
      <c r="B87" s="579" t="s">
        <v>30</v>
      </c>
      <c r="C87" s="577" t="s">
        <v>2648</v>
      </c>
      <c r="D87" s="190" t="s">
        <v>2401</v>
      </c>
      <c r="E87" s="171" t="s">
        <v>33</v>
      </c>
      <c r="F87" s="580">
        <v>44315</v>
      </c>
      <c r="G87" s="580">
        <v>44419</v>
      </c>
      <c r="H87" s="580">
        <v>44474</v>
      </c>
      <c r="I87" s="536">
        <v>43125</v>
      </c>
      <c r="J87" s="547"/>
      <c r="K87" s="547"/>
      <c r="L87" s="547"/>
      <c r="M87" s="534"/>
      <c r="O87" s="537">
        <f t="shared" si="2"/>
        <v>0</v>
      </c>
    </row>
    <row r="88" spans="1:15" s="399" customFormat="1" ht="12">
      <c r="A88" s="575" t="s">
        <v>2647</v>
      </c>
      <c r="B88" s="579" t="s">
        <v>174</v>
      </c>
      <c r="C88" s="577" t="s">
        <v>2648</v>
      </c>
      <c r="D88" s="190" t="s">
        <v>2563</v>
      </c>
      <c r="E88" s="171" t="s">
        <v>33</v>
      </c>
      <c r="F88" s="580">
        <v>44315</v>
      </c>
      <c r="G88" s="580">
        <v>44419</v>
      </c>
      <c r="H88" s="580">
        <v>44484</v>
      </c>
      <c r="I88" s="536">
        <v>4021703.86</v>
      </c>
      <c r="J88" s="547">
        <f>+I88+I87</f>
        <v>4064828.86</v>
      </c>
      <c r="K88" s="547">
        <v>721704</v>
      </c>
      <c r="L88" s="547">
        <f>+J88-K88</f>
        <v>3343124.86</v>
      </c>
      <c r="M88" s="534"/>
      <c r="O88" s="537">
        <f t="shared" si="2"/>
        <v>3343124.86</v>
      </c>
    </row>
    <row r="89" spans="1:15" s="399" customFormat="1" ht="12">
      <c r="A89" s="575" t="s">
        <v>2655</v>
      </c>
      <c r="B89" s="579" t="s">
        <v>174</v>
      </c>
      <c r="C89" s="577" t="s">
        <v>2657</v>
      </c>
      <c r="D89" s="190" t="s">
        <v>2326</v>
      </c>
      <c r="E89" s="171" t="s">
        <v>33</v>
      </c>
      <c r="F89" s="580">
        <v>44369</v>
      </c>
      <c r="G89" s="580">
        <v>44410</v>
      </c>
      <c r="H89" s="580">
        <v>44487</v>
      </c>
      <c r="I89" s="536">
        <v>727013.89</v>
      </c>
      <c r="J89" s="547"/>
      <c r="K89" s="547"/>
      <c r="L89" s="547"/>
      <c r="M89" s="534"/>
      <c r="O89" s="537">
        <f t="shared" si="2"/>
        <v>0</v>
      </c>
    </row>
    <row r="90" spans="1:15" s="399" customFormat="1" ht="12">
      <c r="A90" s="575" t="s">
        <v>2656</v>
      </c>
      <c r="B90" s="579" t="s">
        <v>23</v>
      </c>
      <c r="C90" s="577" t="s">
        <v>2657</v>
      </c>
      <c r="D90" s="190" t="s">
        <v>2326</v>
      </c>
      <c r="E90" s="171" t="s">
        <v>33</v>
      </c>
      <c r="F90" s="580">
        <v>44369</v>
      </c>
      <c r="G90" s="580">
        <v>44410</v>
      </c>
      <c r="H90" s="580">
        <v>44487</v>
      </c>
      <c r="I90" s="536">
        <v>62591.18</v>
      </c>
      <c r="J90" s="547">
        <f>+I90+I89</f>
        <v>789605.07000000007</v>
      </c>
      <c r="K90" s="547">
        <v>721704</v>
      </c>
      <c r="L90" s="547">
        <f>+J90-K90</f>
        <v>67901.070000000065</v>
      </c>
      <c r="M90" s="534"/>
      <c r="O90" s="537">
        <f t="shared" si="2"/>
        <v>67901.070000000065</v>
      </c>
    </row>
    <row r="91" spans="1:15" s="399" customFormat="1" ht="12">
      <c r="A91" s="562" t="s">
        <v>2526</v>
      </c>
      <c r="B91" s="171" t="s">
        <v>174</v>
      </c>
      <c r="C91" s="190" t="s">
        <v>2527</v>
      </c>
      <c r="D91" s="190" t="s">
        <v>2326</v>
      </c>
      <c r="E91" s="171" t="s">
        <v>33</v>
      </c>
      <c r="F91" s="173">
        <v>44240</v>
      </c>
      <c r="G91" s="173">
        <v>44322</v>
      </c>
      <c r="H91" s="173">
        <v>44376</v>
      </c>
      <c r="I91" s="536">
        <v>1000000</v>
      </c>
      <c r="J91" s="547">
        <f>+I91</f>
        <v>1000000</v>
      </c>
      <c r="K91" s="547">
        <v>721704</v>
      </c>
      <c r="L91" s="547">
        <f>+J91-K91</f>
        <v>278296</v>
      </c>
      <c r="M91" s="534"/>
      <c r="O91" s="537">
        <f t="shared" si="2"/>
        <v>278296</v>
      </c>
    </row>
    <row r="92" spans="1:15" s="399" customFormat="1" ht="12">
      <c r="A92" s="562" t="s">
        <v>2528</v>
      </c>
      <c r="B92" s="171" t="s">
        <v>30</v>
      </c>
      <c r="C92" s="190" t="s">
        <v>2529</v>
      </c>
      <c r="D92" s="190" t="s">
        <v>2326</v>
      </c>
      <c r="E92" s="171" t="s">
        <v>33</v>
      </c>
      <c r="F92" s="173">
        <v>44222</v>
      </c>
      <c r="G92" s="173">
        <v>44267</v>
      </c>
      <c r="H92" s="173">
        <v>44294</v>
      </c>
      <c r="I92" s="536">
        <v>153000</v>
      </c>
      <c r="J92" s="547"/>
      <c r="K92" s="547"/>
      <c r="L92" s="547"/>
      <c r="M92" s="534"/>
      <c r="O92" s="537">
        <f t="shared" si="2"/>
        <v>0</v>
      </c>
    </row>
    <row r="93" spans="1:15" s="399" customFormat="1" ht="12">
      <c r="A93" s="562" t="s">
        <v>2530</v>
      </c>
      <c r="B93" s="171" t="s">
        <v>174</v>
      </c>
      <c r="C93" s="190" t="s">
        <v>2529</v>
      </c>
      <c r="D93" s="190" t="s">
        <v>2326</v>
      </c>
      <c r="E93" s="171" t="s">
        <v>33</v>
      </c>
      <c r="F93" s="173">
        <v>44222</v>
      </c>
      <c r="G93" s="173">
        <v>44267</v>
      </c>
      <c r="H93" s="173">
        <v>44294</v>
      </c>
      <c r="I93" s="536">
        <v>607250.79999999993</v>
      </c>
      <c r="J93" s="547"/>
      <c r="K93" s="547"/>
      <c r="L93" s="547"/>
      <c r="M93" s="534"/>
      <c r="O93" s="537">
        <f t="shared" si="2"/>
        <v>0</v>
      </c>
    </row>
    <row r="94" spans="1:15" s="399" customFormat="1" ht="12">
      <c r="A94" s="575" t="s">
        <v>2658</v>
      </c>
      <c r="B94" s="579" t="s">
        <v>174</v>
      </c>
      <c r="C94" s="190" t="s">
        <v>2529</v>
      </c>
      <c r="D94" s="190" t="s">
        <v>2626</v>
      </c>
      <c r="E94" s="171" t="s">
        <v>33</v>
      </c>
      <c r="F94" s="580">
        <v>44222</v>
      </c>
      <c r="G94" s="580">
        <v>44397</v>
      </c>
      <c r="H94" s="580">
        <v>44439</v>
      </c>
      <c r="I94" s="536">
        <v>16410.5</v>
      </c>
      <c r="J94" s="547"/>
      <c r="K94" s="547"/>
      <c r="L94" s="547"/>
      <c r="M94" s="534"/>
      <c r="O94" s="537">
        <f t="shared" ref="O94:O100" si="3">IF($J94&gt;P$8,$J94-P$8,0)</f>
        <v>0</v>
      </c>
    </row>
    <row r="95" spans="1:15" s="399" customFormat="1" ht="12">
      <c r="A95" s="575" t="s">
        <v>2659</v>
      </c>
      <c r="B95" s="579" t="s">
        <v>23</v>
      </c>
      <c r="C95" s="190" t="s">
        <v>2529</v>
      </c>
      <c r="D95" s="190" t="s">
        <v>2660</v>
      </c>
      <c r="E95" s="171" t="s">
        <v>33</v>
      </c>
      <c r="F95" s="580">
        <v>44222</v>
      </c>
      <c r="G95" s="580">
        <v>44397</v>
      </c>
      <c r="H95" s="580">
        <v>44439</v>
      </c>
      <c r="I95" s="536">
        <v>60851.37</v>
      </c>
      <c r="J95" s="547">
        <f>SUM(I92:I95)</f>
        <v>837512.66999999993</v>
      </c>
      <c r="K95" s="547">
        <v>721704</v>
      </c>
      <c r="L95" s="547">
        <f>+J95-K95</f>
        <v>115808.66999999993</v>
      </c>
      <c r="M95" s="534"/>
      <c r="O95" s="537">
        <f t="shared" si="3"/>
        <v>115808.66999999993</v>
      </c>
    </row>
    <row r="96" spans="1:15" s="399" customFormat="1" ht="12">
      <c r="A96" s="575" t="s">
        <v>2661</v>
      </c>
      <c r="B96" s="579" t="s">
        <v>174</v>
      </c>
      <c r="C96" s="577" t="s">
        <v>2663</v>
      </c>
      <c r="D96" s="190" t="s">
        <v>2401</v>
      </c>
      <c r="E96" s="171" t="s">
        <v>33</v>
      </c>
      <c r="F96" s="580">
        <v>44301</v>
      </c>
      <c r="G96" s="580">
        <v>44337</v>
      </c>
      <c r="H96" s="580">
        <v>44396</v>
      </c>
      <c r="I96" s="536">
        <v>757385.15</v>
      </c>
      <c r="J96" s="547"/>
      <c r="K96" s="547"/>
      <c r="L96" s="547"/>
      <c r="M96" s="534"/>
      <c r="O96" s="537">
        <f t="shared" si="3"/>
        <v>0</v>
      </c>
    </row>
    <row r="97" spans="1:15" s="399" customFormat="1" ht="12">
      <c r="A97" s="575" t="s">
        <v>2662</v>
      </c>
      <c r="B97" s="579" t="s">
        <v>23</v>
      </c>
      <c r="C97" s="577" t="s">
        <v>2663</v>
      </c>
      <c r="D97" s="190" t="s">
        <v>2401</v>
      </c>
      <c r="E97" s="171" t="s">
        <v>33</v>
      </c>
      <c r="F97" s="580">
        <v>44301</v>
      </c>
      <c r="G97" s="580">
        <v>44337</v>
      </c>
      <c r="H97" s="580">
        <v>44396</v>
      </c>
      <c r="I97" s="536">
        <v>90876.83</v>
      </c>
      <c r="J97" s="547">
        <f>+I97+I96</f>
        <v>848261.98</v>
      </c>
      <c r="K97" s="547">
        <v>721704</v>
      </c>
      <c r="L97" s="547">
        <f>+J97-K97</f>
        <v>126557.97999999998</v>
      </c>
      <c r="M97" s="534"/>
      <c r="O97" s="537">
        <f t="shared" si="3"/>
        <v>126557.97999999998</v>
      </c>
    </row>
    <row r="98" spans="1:15" s="399" customFormat="1" ht="12">
      <c r="A98" s="575" t="s">
        <v>2664</v>
      </c>
      <c r="B98" s="579" t="s">
        <v>174</v>
      </c>
      <c r="C98" s="577" t="s">
        <v>2666</v>
      </c>
      <c r="D98" s="190" t="s">
        <v>2326</v>
      </c>
      <c r="E98" s="171" t="s">
        <v>33</v>
      </c>
      <c r="F98" s="580">
        <v>44338</v>
      </c>
      <c r="G98" s="580">
        <v>44379</v>
      </c>
      <c r="H98" s="580">
        <v>44494</v>
      </c>
      <c r="I98" s="536">
        <v>1500000</v>
      </c>
      <c r="J98" s="547"/>
      <c r="K98" s="547"/>
      <c r="L98" s="547"/>
      <c r="M98" s="534"/>
      <c r="O98" s="537">
        <f t="shared" si="3"/>
        <v>0</v>
      </c>
    </row>
    <row r="99" spans="1:15" s="399" customFormat="1" ht="12">
      <c r="A99" s="575" t="s">
        <v>2665</v>
      </c>
      <c r="B99" s="579" t="s">
        <v>23</v>
      </c>
      <c r="C99" s="577" t="s">
        <v>2666</v>
      </c>
      <c r="D99" s="190" t="s">
        <v>2326</v>
      </c>
      <c r="E99" s="171" t="s">
        <v>33</v>
      </c>
      <c r="F99" s="580">
        <v>44338</v>
      </c>
      <c r="G99" s="580">
        <v>44379</v>
      </c>
      <c r="H99" s="580">
        <v>44494</v>
      </c>
      <c r="I99" s="536">
        <v>104500</v>
      </c>
      <c r="J99" s="547">
        <f>+I98+I99</f>
        <v>1604500</v>
      </c>
      <c r="K99" s="547">
        <v>721704</v>
      </c>
      <c r="L99" s="547">
        <f>+J99-K99</f>
        <v>882796</v>
      </c>
      <c r="M99" s="534"/>
      <c r="O99" s="537">
        <f t="shared" si="3"/>
        <v>882796</v>
      </c>
    </row>
    <row r="100" spans="1:15" ht="15" thickBot="1">
      <c r="A100" s="551"/>
      <c r="B100" s="552"/>
      <c r="C100" s="553"/>
      <c r="D100" s="554"/>
      <c r="E100" s="555"/>
      <c r="F100" s="556"/>
      <c r="G100" s="556"/>
      <c r="H100" s="556"/>
      <c r="I100" s="557"/>
      <c r="J100" s="558"/>
      <c r="K100" s="558"/>
      <c r="L100" s="559"/>
      <c r="M100" s="560"/>
      <c r="O100" s="515">
        <f t="shared" si="3"/>
        <v>0</v>
      </c>
    </row>
    <row r="101" spans="1:15" ht="15" thickBot="1">
      <c r="H101" s="508" t="s">
        <v>1941</v>
      </c>
      <c r="I101" s="561">
        <f>SUM(I9:I99)</f>
        <v>58359729.899999991</v>
      </c>
      <c r="J101" s="561">
        <f>SUM(J9:J99)</f>
        <v>58359729.899999999</v>
      </c>
      <c r="K101" s="561">
        <f>SUM(K9:K99)</f>
        <v>27424752</v>
      </c>
      <c r="L101" s="561">
        <f>SUM(L9:L99)</f>
        <v>30934977.90000001</v>
      </c>
      <c r="M101" s="561"/>
      <c r="O101" s="524">
        <f>SUM(O10:O100)</f>
        <v>30934977.90000001</v>
      </c>
    </row>
    <row r="104" spans="1:15">
      <c r="K104" s="82"/>
      <c r="L104" s="82"/>
    </row>
    <row r="105" spans="1:15">
      <c r="J105" s="72" t="s">
        <v>2535</v>
      </c>
      <c r="L105" s="110">
        <f>L101/K111</f>
        <v>1.0044774245456569</v>
      </c>
      <c r="M105" s="86">
        <f>L101/L108</f>
        <v>0.96671805937500033</v>
      </c>
    </row>
    <row r="106" spans="1:15">
      <c r="K106" s="82"/>
    </row>
    <row r="107" spans="1:15">
      <c r="L107" s="525"/>
    </row>
    <row r="108" spans="1:15">
      <c r="L108" s="525">
        <v>32000000</v>
      </c>
    </row>
    <row r="109" spans="1:15">
      <c r="L109" s="266"/>
      <c r="M109" s="86"/>
    </row>
    <row r="110" spans="1:15">
      <c r="L110" s="266">
        <f>+L108-L101</f>
        <v>1065022.0999999903</v>
      </c>
      <c r="M110" s="72" t="s">
        <v>2743</v>
      </c>
    </row>
    <row r="111" spans="1:15">
      <c r="J111" s="72" t="s">
        <v>2535</v>
      </c>
      <c r="K111" s="82">
        <v>30797086.27</v>
      </c>
    </row>
    <row r="112" spans="1:15">
      <c r="J112" s="72" t="s">
        <v>3161</v>
      </c>
      <c r="K112" s="82">
        <v>7253000</v>
      </c>
    </row>
    <row r="113" spans="10:11">
      <c r="J113" s="72" t="s">
        <v>2929</v>
      </c>
      <c r="K113" s="83">
        <f>K111-K112</f>
        <v>23544086.27</v>
      </c>
    </row>
  </sheetData>
  <autoFilter ref="A8:M101" xr:uid="{00000000-0009-0000-0000-00000B000000}"/>
  <sortState xmlns:xlrd2="http://schemas.microsoft.com/office/spreadsheetml/2017/richdata2" ref="A9:M101">
    <sortCondition ref="C9:C101"/>
  </sortState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disablePrompts="1" count="1">
    <dataValidation type="list" allowBlank="1" showInputMessage="1" showErrorMessage="1" sqref="B10:B81" xr:uid="{00000000-0002-0000-0B00-000000000000}">
      <formula1>#REF!</formula1>
    </dataValidation>
  </dataValidations>
  <pageMargins left="0.7" right="0.7" top="0.75" bottom="0.75" header="0.3" footer="0.3"/>
  <pageSetup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83"/>
  <sheetViews>
    <sheetView showGridLines="0" workbookViewId="0">
      <selection activeCell="A5" sqref="A5:M5"/>
    </sheetView>
  </sheetViews>
  <sheetFormatPr baseColWidth="10" defaultRowHeight="14.4"/>
  <cols>
    <col min="1" max="1" width="22.109375" style="72" customWidth="1"/>
    <col min="2" max="3" width="31.5546875" style="72" customWidth="1"/>
    <col min="4" max="4" width="43.5546875" style="72" customWidth="1"/>
    <col min="5" max="5" width="20.77734375" style="72" customWidth="1"/>
    <col min="6" max="6" width="20.44140625" style="72" customWidth="1"/>
    <col min="7" max="7" width="17.109375" style="72" customWidth="1"/>
    <col min="8" max="8" width="17" style="72" customWidth="1"/>
    <col min="9" max="9" width="24.109375" style="72" bestFit="1" customWidth="1"/>
    <col min="10" max="10" width="21.5546875" style="72" bestFit="1" customWidth="1"/>
    <col min="11" max="11" width="19.109375" style="72" bestFit="1" customWidth="1"/>
    <col min="12" max="12" width="17.77734375" style="72" bestFit="1" customWidth="1"/>
    <col min="13" max="13" width="17.21875" style="72" bestFit="1" customWidth="1"/>
    <col min="14" max="14" width="11.5546875" style="72"/>
    <col min="15" max="15" width="20.21875" style="72" bestFit="1" customWidth="1"/>
    <col min="16" max="16" width="19.44140625" style="72" bestFit="1" customWidth="1"/>
    <col min="17" max="21" width="11.5546875" style="72"/>
    <col min="22" max="22" width="38.44140625" style="72" bestFit="1" customWidth="1"/>
    <col min="23" max="23" width="29.21875" style="72" bestFit="1" customWidth="1"/>
    <col min="24" max="28" width="11.5546875" style="72"/>
    <col min="29" max="29" width="22.109375" style="72" bestFit="1" customWidth="1"/>
    <col min="30" max="30" width="30.109375" style="72" bestFit="1" customWidth="1"/>
    <col min="31" max="31" width="11.6640625" style="72" bestFit="1" customWidth="1"/>
    <col min="32" max="16384" width="11.5546875" style="72"/>
  </cols>
  <sheetData>
    <row r="1" spans="1:30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30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30" ht="18.600000000000001" thickBot="1">
      <c r="A3" s="774" t="s">
        <v>1666</v>
      </c>
      <c r="B3" s="775"/>
      <c r="C3" s="492">
        <v>24.597799999999999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30" ht="18.600000000000001" thickBot="1">
      <c r="A4" s="747" t="s">
        <v>1665</v>
      </c>
      <c r="B4" s="776"/>
      <c r="C4" s="783" t="s">
        <v>2738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30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30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30" ht="18.600000000000001" thickBot="1">
      <c r="A7" s="753" t="s">
        <v>2737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30" ht="18" customHeight="1" thickBot="1">
      <c r="A8" s="527" t="s">
        <v>9</v>
      </c>
      <c r="B8" s="527" t="s">
        <v>10</v>
      </c>
      <c r="C8" s="527" t="s">
        <v>11</v>
      </c>
      <c r="D8" s="527" t="s">
        <v>12</v>
      </c>
      <c r="E8" s="527" t="s">
        <v>13</v>
      </c>
      <c r="F8" s="527" t="s">
        <v>14</v>
      </c>
      <c r="G8" s="527" t="s">
        <v>15</v>
      </c>
      <c r="H8" s="527" t="s">
        <v>16</v>
      </c>
      <c r="I8" s="527" t="s">
        <v>17</v>
      </c>
      <c r="J8" s="527" t="s">
        <v>18</v>
      </c>
      <c r="K8" s="527" t="s">
        <v>19</v>
      </c>
      <c r="L8" s="527" t="s">
        <v>20</v>
      </c>
      <c r="M8" s="527" t="s">
        <v>21</v>
      </c>
      <c r="O8" s="454" t="s">
        <v>1090</v>
      </c>
      <c r="P8" s="455">
        <f>'BURNING COST'!F8</f>
        <v>721704</v>
      </c>
      <c r="V8" s="260" t="s">
        <v>1062</v>
      </c>
      <c r="W8" s="72" t="s">
        <v>2534</v>
      </c>
      <c r="AC8" s="531" t="s">
        <v>1062</v>
      </c>
      <c r="AD8" s="531" t="s">
        <v>2534</v>
      </c>
    </row>
    <row r="9" spans="1:30" ht="15" thickBot="1">
      <c r="A9" s="581" t="s">
        <v>2796</v>
      </c>
      <c r="B9" s="582" t="s">
        <v>93</v>
      </c>
      <c r="C9" s="583" t="s">
        <v>2703</v>
      </c>
      <c r="D9" s="583" t="s">
        <v>2704</v>
      </c>
      <c r="E9" s="582" t="s">
        <v>33</v>
      </c>
      <c r="F9" s="584">
        <v>44480</v>
      </c>
      <c r="G9" s="584">
        <v>44580</v>
      </c>
      <c r="H9" s="584">
        <v>44649</v>
      </c>
      <c r="I9" s="585">
        <v>2766461.44</v>
      </c>
      <c r="J9" s="585"/>
      <c r="K9" s="585"/>
      <c r="L9" s="585"/>
      <c r="M9" s="586"/>
      <c r="O9" s="587" t="s">
        <v>1091</v>
      </c>
      <c r="V9" s="262" t="s">
        <v>2326</v>
      </c>
      <c r="W9" s="255">
        <v>4887751.4000000004</v>
      </c>
      <c r="AC9" s="262" t="s">
        <v>30</v>
      </c>
      <c r="AD9" s="588">
        <v>153000</v>
      </c>
    </row>
    <row r="10" spans="1:30" ht="15" thickBot="1">
      <c r="A10" s="581" t="s">
        <v>2797</v>
      </c>
      <c r="B10" s="582" t="s">
        <v>174</v>
      </c>
      <c r="C10" s="583" t="s">
        <v>2703</v>
      </c>
      <c r="D10" s="583" t="s">
        <v>2704</v>
      </c>
      <c r="E10" s="582" t="s">
        <v>33</v>
      </c>
      <c r="F10" s="584">
        <v>44480</v>
      </c>
      <c r="G10" s="584">
        <v>44580</v>
      </c>
      <c r="H10" s="584">
        <v>44649</v>
      </c>
      <c r="I10" s="585">
        <v>8618473.6799999997</v>
      </c>
      <c r="J10" s="585"/>
      <c r="K10" s="585"/>
      <c r="L10" s="585"/>
      <c r="M10" s="586"/>
      <c r="O10" s="587">
        <f>IF($J10&gt;P$8,$J10-P$8,0)</f>
        <v>0</v>
      </c>
      <c r="V10" s="262" t="s">
        <v>2401</v>
      </c>
      <c r="W10" s="255">
        <v>1520000</v>
      </c>
      <c r="AC10" s="262" t="s">
        <v>23</v>
      </c>
      <c r="AD10" s="588">
        <v>493387.22</v>
      </c>
    </row>
    <row r="11" spans="1:30" ht="15" thickBot="1">
      <c r="A11" s="581" t="s">
        <v>2798</v>
      </c>
      <c r="B11" s="582" t="s">
        <v>30</v>
      </c>
      <c r="C11" s="583" t="s">
        <v>2703</v>
      </c>
      <c r="D11" s="583" t="s">
        <v>2704</v>
      </c>
      <c r="E11" s="582" t="s">
        <v>33</v>
      </c>
      <c r="F11" s="584">
        <v>44480</v>
      </c>
      <c r="G11" s="584">
        <v>44580</v>
      </c>
      <c r="H11" s="584">
        <v>44643</v>
      </c>
      <c r="I11" s="585">
        <v>30000</v>
      </c>
      <c r="J11" s="585">
        <f>SUM(I9:I11)</f>
        <v>11414935.119999999</v>
      </c>
      <c r="K11" s="585">
        <v>721704</v>
      </c>
      <c r="L11" s="585">
        <f>+J11-K11</f>
        <v>10693231.119999999</v>
      </c>
      <c r="M11" s="586"/>
      <c r="O11" s="587">
        <f t="shared" ref="O11:O74" si="0">IF($J11&gt;P$8,$J11-P$8,0)</f>
        <v>10693231.119999999</v>
      </c>
      <c r="V11" s="262" t="s">
        <v>2563</v>
      </c>
      <c r="W11" s="255">
        <v>1032500</v>
      </c>
      <c r="AC11" s="262" t="s">
        <v>174</v>
      </c>
      <c r="AD11" s="588">
        <v>10958022.040000001</v>
      </c>
    </row>
    <row r="12" spans="1:30" ht="15" thickBot="1">
      <c r="A12" s="581" t="s">
        <v>2930</v>
      </c>
      <c r="B12" s="582" t="s">
        <v>1900</v>
      </c>
      <c r="C12" s="583" t="s">
        <v>2932</v>
      </c>
      <c r="D12" s="583" t="s">
        <v>2933</v>
      </c>
      <c r="E12" s="582" t="s">
        <v>33</v>
      </c>
      <c r="F12" s="584">
        <v>44917</v>
      </c>
      <c r="G12" s="584">
        <v>45041</v>
      </c>
      <c r="H12" s="584">
        <v>45106</v>
      </c>
      <c r="I12" s="585">
        <f>1000000+7000</f>
        <v>1007000</v>
      </c>
      <c r="J12" s="585"/>
      <c r="K12" s="585"/>
      <c r="L12" s="585"/>
      <c r="M12" s="586"/>
      <c r="O12" s="587">
        <f t="shared" si="0"/>
        <v>0</v>
      </c>
      <c r="V12" s="262" t="s">
        <v>2569</v>
      </c>
      <c r="W12" s="255">
        <v>966340.02</v>
      </c>
      <c r="AC12" s="262" t="s">
        <v>36</v>
      </c>
      <c r="AD12" s="588">
        <v>1979372.83</v>
      </c>
    </row>
    <row r="13" spans="1:30" ht="15" thickBot="1">
      <c r="A13" s="581" t="s">
        <v>2931</v>
      </c>
      <c r="B13" s="582" t="s">
        <v>1900</v>
      </c>
      <c r="C13" s="583" t="s">
        <v>2932</v>
      </c>
      <c r="D13" s="583" t="s">
        <v>2933</v>
      </c>
      <c r="E13" s="582" t="s">
        <v>33</v>
      </c>
      <c r="F13" s="584">
        <v>44917</v>
      </c>
      <c r="G13" s="584">
        <v>45120</v>
      </c>
      <c r="H13" s="584">
        <v>45124</v>
      </c>
      <c r="I13" s="585">
        <v>200000</v>
      </c>
      <c r="J13" s="585"/>
      <c r="K13" s="585"/>
      <c r="L13" s="585"/>
      <c r="M13" s="586"/>
      <c r="O13" s="587">
        <f t="shared" si="0"/>
        <v>0</v>
      </c>
      <c r="V13" s="262" t="s">
        <v>2574</v>
      </c>
      <c r="W13" s="255">
        <v>905979.95</v>
      </c>
      <c r="AC13" s="262" t="s">
        <v>1066</v>
      </c>
      <c r="AD13" s="588">
        <f>SUM(AD9:AD12)</f>
        <v>13583782.090000002</v>
      </c>
    </row>
    <row r="14" spans="1:30" ht="15" thickBot="1">
      <c r="A14" s="581" t="s">
        <v>3060</v>
      </c>
      <c r="B14" s="582" t="s">
        <v>23</v>
      </c>
      <c r="C14" s="583" t="s">
        <v>2932</v>
      </c>
      <c r="D14" s="583" t="s">
        <v>2933</v>
      </c>
      <c r="E14" s="582" t="s">
        <v>33</v>
      </c>
      <c r="F14" s="584">
        <v>44917</v>
      </c>
      <c r="G14" s="584">
        <v>45208</v>
      </c>
      <c r="H14" s="584">
        <v>45216</v>
      </c>
      <c r="I14" s="585">
        <v>11755.83</v>
      </c>
      <c r="J14" s="585">
        <f>SUM(I12:I14)</f>
        <v>1218755.83</v>
      </c>
      <c r="K14" s="585">
        <v>721704</v>
      </c>
      <c r="L14" s="585">
        <f>+J14-K14</f>
        <v>497051.83000000007</v>
      </c>
      <c r="M14" s="586"/>
      <c r="O14" s="587">
        <f t="shared" si="0"/>
        <v>497051.83000000007</v>
      </c>
      <c r="V14" s="262" t="s">
        <v>2578</v>
      </c>
      <c r="W14" s="255">
        <v>782080.44</v>
      </c>
      <c r="AC14" s="262"/>
      <c r="AD14" s="588"/>
    </row>
    <row r="15" spans="1:30" ht="15" thickBot="1">
      <c r="A15" s="581" t="s">
        <v>2799</v>
      </c>
      <c r="B15" s="582" t="s">
        <v>1917</v>
      </c>
      <c r="C15" s="583" t="s">
        <v>2769</v>
      </c>
      <c r="D15" s="583" t="s">
        <v>1457</v>
      </c>
      <c r="E15" s="582" t="s">
        <v>33</v>
      </c>
      <c r="F15" s="584">
        <v>44713</v>
      </c>
      <c r="G15" s="584">
        <v>44797</v>
      </c>
      <c r="H15" s="584">
        <v>44803</v>
      </c>
      <c r="I15" s="585">
        <v>50000</v>
      </c>
      <c r="J15" s="585"/>
      <c r="K15" s="585"/>
      <c r="L15" s="585"/>
      <c r="M15" s="586"/>
      <c r="O15" s="587">
        <f t="shared" si="0"/>
        <v>0</v>
      </c>
      <c r="V15" s="262" t="s">
        <v>2581</v>
      </c>
      <c r="W15" s="255">
        <v>1489623</v>
      </c>
      <c r="AC15" s="262"/>
      <c r="AD15" s="588"/>
    </row>
    <row r="16" spans="1:30" ht="15" thickBot="1">
      <c r="A16" s="581" t="s">
        <v>2800</v>
      </c>
      <c r="B16" s="582" t="s">
        <v>174</v>
      </c>
      <c r="C16" s="583" t="s">
        <v>2769</v>
      </c>
      <c r="D16" s="583" t="s">
        <v>1457</v>
      </c>
      <c r="E16" s="582" t="s">
        <v>33</v>
      </c>
      <c r="F16" s="584">
        <v>44713</v>
      </c>
      <c r="G16" s="584">
        <v>44797</v>
      </c>
      <c r="H16" s="584">
        <v>44803</v>
      </c>
      <c r="I16" s="585">
        <v>669949.13</v>
      </c>
      <c r="J16" s="585"/>
      <c r="K16" s="585"/>
      <c r="L16" s="585"/>
      <c r="M16" s="586"/>
      <c r="O16" s="587">
        <f t="shared" si="0"/>
        <v>0</v>
      </c>
      <c r="V16" s="262" t="s">
        <v>2586</v>
      </c>
      <c r="W16" s="255">
        <v>1015000</v>
      </c>
      <c r="AC16" s="262" t="s">
        <v>1062</v>
      </c>
      <c r="AD16" s="588" t="s">
        <v>2534</v>
      </c>
    </row>
    <row r="17" spans="1:31" ht="15" thickBot="1">
      <c r="A17" s="581" t="s">
        <v>2801</v>
      </c>
      <c r="B17" s="582" t="s">
        <v>23</v>
      </c>
      <c r="C17" s="583" t="s">
        <v>2769</v>
      </c>
      <c r="D17" s="583" t="s">
        <v>1457</v>
      </c>
      <c r="E17" s="582" t="s">
        <v>33</v>
      </c>
      <c r="F17" s="584">
        <v>44713</v>
      </c>
      <c r="G17" s="584">
        <v>44797</v>
      </c>
      <c r="H17" s="584">
        <v>44803</v>
      </c>
      <c r="I17" s="585">
        <v>110000</v>
      </c>
      <c r="J17" s="585">
        <f>SUM(I15:I17)</f>
        <v>829949.13</v>
      </c>
      <c r="K17" s="585">
        <v>721704</v>
      </c>
      <c r="L17" s="585">
        <f>+J17-K17</f>
        <v>108245.13</v>
      </c>
      <c r="M17" s="586"/>
      <c r="O17" s="587">
        <f t="shared" si="0"/>
        <v>108245.13</v>
      </c>
      <c r="V17" s="262" t="s">
        <v>1066</v>
      </c>
      <c r="W17" s="255">
        <v>12599274.809999999</v>
      </c>
      <c r="AC17" s="262" t="s">
        <v>2326</v>
      </c>
      <c r="AD17" s="588">
        <v>11376198.939999999</v>
      </c>
      <c r="AE17" s="72">
        <f>AD17/AD20</f>
        <v>0.8374839101972078</v>
      </c>
    </row>
    <row r="18" spans="1:31" ht="15" thickBot="1">
      <c r="A18" s="581" t="s">
        <v>2802</v>
      </c>
      <c r="B18" s="582" t="s">
        <v>174</v>
      </c>
      <c r="C18" s="583" t="s">
        <v>2721</v>
      </c>
      <c r="D18" s="583" t="s">
        <v>25</v>
      </c>
      <c r="E18" s="582" t="s">
        <v>26</v>
      </c>
      <c r="F18" s="584">
        <v>44576</v>
      </c>
      <c r="G18" s="584">
        <v>44621</v>
      </c>
      <c r="H18" s="584">
        <v>44650</v>
      </c>
      <c r="I18" s="585">
        <v>1155419.05</v>
      </c>
      <c r="J18" s="585"/>
      <c r="K18" s="585"/>
      <c r="L18" s="585"/>
      <c r="M18" s="586"/>
      <c r="O18" s="587">
        <f t="shared" si="0"/>
        <v>0</v>
      </c>
      <c r="V18" s="262"/>
      <c r="W18" s="255"/>
      <c r="AC18" s="262" t="s">
        <v>1891</v>
      </c>
      <c r="AD18" s="588">
        <v>1417000</v>
      </c>
      <c r="AE18" s="72">
        <f>AD18/AD20</f>
        <v>0.10431557209999384</v>
      </c>
    </row>
    <row r="19" spans="1:31" ht="15" thickBot="1">
      <c r="A19" s="581" t="s">
        <v>2803</v>
      </c>
      <c r="B19" s="582" t="s">
        <v>23</v>
      </c>
      <c r="C19" s="583" t="s">
        <v>2721</v>
      </c>
      <c r="D19" s="583" t="s">
        <v>25</v>
      </c>
      <c r="E19" s="582" t="s">
        <v>26</v>
      </c>
      <c r="F19" s="584">
        <v>44576</v>
      </c>
      <c r="G19" s="584">
        <v>44621</v>
      </c>
      <c r="H19" s="584">
        <v>44643</v>
      </c>
      <c r="I19" s="585">
        <v>75710.62</v>
      </c>
      <c r="J19" s="585">
        <f>SUM(I18:I19)</f>
        <v>1231129.67</v>
      </c>
      <c r="K19" s="585">
        <v>721704</v>
      </c>
      <c r="L19" s="585">
        <f>+J19-K19</f>
        <v>509425.66999999993</v>
      </c>
      <c r="M19" s="586"/>
      <c r="O19" s="587">
        <f t="shared" si="0"/>
        <v>509425.66999999993</v>
      </c>
      <c r="V19" s="262"/>
      <c r="W19" s="255"/>
      <c r="AC19" s="262" t="s">
        <v>38</v>
      </c>
      <c r="AD19" s="588">
        <v>790583.15</v>
      </c>
      <c r="AE19" s="72">
        <f>AD19/AD20</f>
        <v>5.8200517702798341E-2</v>
      </c>
    </row>
    <row r="20" spans="1:31" ht="15" thickBot="1">
      <c r="A20" s="581" t="s">
        <v>2804</v>
      </c>
      <c r="B20" s="582" t="s">
        <v>174</v>
      </c>
      <c r="C20" s="583" t="s">
        <v>2910</v>
      </c>
      <c r="D20" s="583" t="s">
        <v>1438</v>
      </c>
      <c r="E20" s="582" t="s">
        <v>33</v>
      </c>
      <c r="F20" s="584">
        <v>44742</v>
      </c>
      <c r="G20" s="584">
        <v>44776</v>
      </c>
      <c r="H20" s="584">
        <v>44882</v>
      </c>
      <c r="I20" s="585">
        <v>205000</v>
      </c>
      <c r="J20" s="585"/>
      <c r="K20" s="585"/>
      <c r="L20" s="585"/>
      <c r="M20" s="586"/>
      <c r="O20" s="587">
        <f t="shared" si="0"/>
        <v>0</v>
      </c>
      <c r="V20" s="262"/>
      <c r="W20" s="255"/>
      <c r="AC20" s="262" t="s">
        <v>1066</v>
      </c>
      <c r="AD20" s="588">
        <f>SUM(AD17:AD19)</f>
        <v>13583782.09</v>
      </c>
    </row>
    <row r="21" spans="1:31" ht="15" thickBot="1">
      <c r="A21" s="581" t="s">
        <v>2805</v>
      </c>
      <c r="B21" s="582" t="s">
        <v>174</v>
      </c>
      <c r="C21" s="583" t="s">
        <v>2910</v>
      </c>
      <c r="D21" s="583" t="s">
        <v>1438</v>
      </c>
      <c r="E21" s="582" t="s">
        <v>33</v>
      </c>
      <c r="F21" s="584">
        <v>44742</v>
      </c>
      <c r="G21" s="584">
        <v>44769</v>
      </c>
      <c r="H21" s="584">
        <v>44921</v>
      </c>
      <c r="I21" s="585">
        <v>535000</v>
      </c>
      <c r="J21" s="585"/>
      <c r="K21" s="585"/>
      <c r="L21" s="585"/>
      <c r="M21" s="586"/>
      <c r="O21" s="587">
        <f t="shared" si="0"/>
        <v>0</v>
      </c>
      <c r="V21" s="262"/>
      <c r="W21" s="255"/>
      <c r="AC21" s="262"/>
      <c r="AD21" s="588"/>
    </row>
    <row r="22" spans="1:31" ht="15" thickBot="1">
      <c r="A22" s="581" t="s">
        <v>2806</v>
      </c>
      <c r="B22" s="582" t="s">
        <v>23</v>
      </c>
      <c r="C22" s="583" t="s">
        <v>2910</v>
      </c>
      <c r="D22" s="583" t="s">
        <v>1438</v>
      </c>
      <c r="E22" s="582" t="s">
        <v>33</v>
      </c>
      <c r="F22" s="584">
        <v>44742</v>
      </c>
      <c r="G22" s="584">
        <v>44769</v>
      </c>
      <c r="H22" s="584">
        <v>44785</v>
      </c>
      <c r="I22" s="585">
        <v>160500</v>
      </c>
      <c r="J22" s="585">
        <f>SUM(I20:I22)</f>
        <v>900500</v>
      </c>
      <c r="K22" s="585">
        <v>721704</v>
      </c>
      <c r="L22" s="585">
        <f>+J22-K22</f>
        <v>178796</v>
      </c>
      <c r="M22" s="586"/>
      <c r="O22" s="587">
        <f t="shared" si="0"/>
        <v>178796</v>
      </c>
      <c r="V22" s="262"/>
      <c r="W22" s="255"/>
      <c r="AC22" s="262"/>
      <c r="AD22" s="588"/>
    </row>
    <row r="23" spans="1:31" ht="15" thickBot="1">
      <c r="A23" s="581" t="s">
        <v>2807</v>
      </c>
      <c r="B23" s="582" t="s">
        <v>174</v>
      </c>
      <c r="C23" s="583" t="s">
        <v>2685</v>
      </c>
      <c r="D23" s="583" t="s">
        <v>2334</v>
      </c>
      <c r="E23" s="582" t="s">
        <v>33</v>
      </c>
      <c r="F23" s="584">
        <v>44487</v>
      </c>
      <c r="G23" s="584">
        <v>44531</v>
      </c>
      <c r="H23" s="584">
        <v>44592</v>
      </c>
      <c r="I23" s="585">
        <v>989548.88</v>
      </c>
      <c r="J23" s="585"/>
      <c r="K23" s="585"/>
      <c r="L23" s="585"/>
      <c r="M23" s="586"/>
      <c r="O23" s="587">
        <f t="shared" si="0"/>
        <v>0</v>
      </c>
      <c r="V23" s="262"/>
      <c r="W23" s="255"/>
      <c r="AC23" s="262"/>
      <c r="AD23" s="588"/>
    </row>
    <row r="24" spans="1:31" ht="15" thickBot="1">
      <c r="A24" s="581" t="s">
        <v>2808</v>
      </c>
      <c r="B24" s="582" t="s">
        <v>23</v>
      </c>
      <c r="C24" s="583" t="s">
        <v>2685</v>
      </c>
      <c r="D24" s="583" t="s">
        <v>2334</v>
      </c>
      <c r="E24" s="582" t="s">
        <v>33</v>
      </c>
      <c r="F24" s="584">
        <v>44487</v>
      </c>
      <c r="G24" s="584">
        <v>44531</v>
      </c>
      <c r="H24" s="584">
        <v>44581</v>
      </c>
      <c r="I24" s="585">
        <v>79814.52</v>
      </c>
      <c r="J24" s="585">
        <f>SUM(I23:I24)</f>
        <v>1069363.3999999999</v>
      </c>
      <c r="K24" s="585">
        <v>721704</v>
      </c>
      <c r="L24" s="585">
        <f>+J24-K24</f>
        <v>347659.39999999991</v>
      </c>
      <c r="M24" s="586"/>
      <c r="O24" s="587">
        <f t="shared" si="0"/>
        <v>347659.39999999991</v>
      </c>
      <c r="V24" s="262"/>
      <c r="W24" s="255"/>
      <c r="AC24" s="262"/>
      <c r="AD24" s="588"/>
    </row>
    <row r="25" spans="1:31" ht="15" thickBot="1">
      <c r="A25" s="581" t="s">
        <v>2771</v>
      </c>
      <c r="B25" s="582" t="s">
        <v>174</v>
      </c>
      <c r="C25" s="583" t="s">
        <v>2772</v>
      </c>
      <c r="D25" s="583" t="s">
        <v>2770</v>
      </c>
      <c r="E25" s="582" t="s">
        <v>33</v>
      </c>
      <c r="F25" s="584">
        <v>44669</v>
      </c>
      <c r="G25" s="584">
        <v>44722</v>
      </c>
      <c r="H25" s="584">
        <v>44736</v>
      </c>
      <c r="I25" s="585">
        <f>151250+3750</f>
        <v>155000</v>
      </c>
      <c r="J25" s="585"/>
      <c r="K25" s="585"/>
      <c r="L25" s="585"/>
      <c r="M25" s="586"/>
      <c r="O25" s="587">
        <f t="shared" si="0"/>
        <v>0</v>
      </c>
      <c r="V25" s="262"/>
      <c r="W25" s="255"/>
      <c r="AC25" s="262"/>
      <c r="AD25" s="588"/>
    </row>
    <row r="26" spans="1:31" ht="15" thickBot="1">
      <c r="A26" s="581" t="s">
        <v>2773</v>
      </c>
      <c r="B26" s="582" t="s">
        <v>23</v>
      </c>
      <c r="C26" s="583" t="s">
        <v>2772</v>
      </c>
      <c r="D26" s="583" t="s">
        <v>2770</v>
      </c>
      <c r="E26" s="582" t="s">
        <v>33</v>
      </c>
      <c r="F26" s="584">
        <v>44669</v>
      </c>
      <c r="G26" s="584">
        <v>44700</v>
      </c>
      <c r="H26" s="584">
        <v>44707</v>
      </c>
      <c r="I26" s="585">
        <v>10949.58</v>
      </c>
      <c r="J26" s="585"/>
      <c r="K26" s="585"/>
      <c r="L26" s="585"/>
      <c r="M26" s="586"/>
      <c r="O26" s="587">
        <f t="shared" si="0"/>
        <v>0</v>
      </c>
      <c r="V26" s="262"/>
      <c r="W26" s="255"/>
      <c r="AC26" s="262"/>
      <c r="AD26" s="588"/>
    </row>
    <row r="27" spans="1:31" ht="15" thickBot="1">
      <c r="A27" s="581" t="s">
        <v>2774</v>
      </c>
      <c r="B27" s="582" t="s">
        <v>174</v>
      </c>
      <c r="C27" s="583" t="s">
        <v>2772</v>
      </c>
      <c r="D27" s="583" t="s">
        <v>2770</v>
      </c>
      <c r="E27" s="582" t="s">
        <v>33</v>
      </c>
      <c r="F27" s="584">
        <v>44669</v>
      </c>
      <c r="G27" s="584">
        <v>44713</v>
      </c>
      <c r="H27" s="584">
        <v>44858</v>
      </c>
      <c r="I27" s="585">
        <f>1210000+6000</f>
        <v>1216000</v>
      </c>
      <c r="J27" s="585"/>
      <c r="K27" s="585"/>
      <c r="L27" s="585"/>
      <c r="M27" s="586"/>
      <c r="O27" s="587">
        <f t="shared" si="0"/>
        <v>0</v>
      </c>
      <c r="V27" s="262"/>
      <c r="W27" s="255"/>
      <c r="AC27" s="262"/>
      <c r="AD27" s="588"/>
    </row>
    <row r="28" spans="1:31" ht="15" thickBot="1">
      <c r="A28" s="581" t="s">
        <v>2775</v>
      </c>
      <c r="B28" s="582" t="s">
        <v>23</v>
      </c>
      <c r="C28" s="583" t="s">
        <v>2772</v>
      </c>
      <c r="D28" s="583" t="s">
        <v>2770</v>
      </c>
      <c r="E28" s="582" t="s">
        <v>33</v>
      </c>
      <c r="F28" s="584">
        <v>44669</v>
      </c>
      <c r="G28" s="584">
        <v>44713</v>
      </c>
      <c r="H28" s="584">
        <v>44727</v>
      </c>
      <c r="I28" s="585">
        <v>160500</v>
      </c>
      <c r="J28" s="585">
        <f>SUM(I25:I28)</f>
        <v>1542449.58</v>
      </c>
      <c r="K28" s="585">
        <v>721704</v>
      </c>
      <c r="L28" s="585">
        <f>+J28-K28</f>
        <v>820745.58000000007</v>
      </c>
      <c r="M28" s="586"/>
      <c r="O28" s="587">
        <f t="shared" si="0"/>
        <v>820745.58000000007</v>
      </c>
      <c r="V28" s="262"/>
      <c r="W28" s="255"/>
      <c r="AC28" s="262"/>
      <c r="AD28" s="588"/>
    </row>
    <row r="29" spans="1:31" ht="15" thickBot="1">
      <c r="A29" s="581" t="s">
        <v>2809</v>
      </c>
      <c r="B29" s="582" t="s">
        <v>174</v>
      </c>
      <c r="C29" s="583" t="s">
        <v>2717</v>
      </c>
      <c r="D29" s="583" t="s">
        <v>38</v>
      </c>
      <c r="E29" s="582" t="s">
        <v>33</v>
      </c>
      <c r="F29" s="584">
        <v>44548</v>
      </c>
      <c r="G29" s="584">
        <v>44722</v>
      </c>
      <c r="H29" s="584">
        <v>44736</v>
      </c>
      <c r="I29" s="585">
        <v>180000</v>
      </c>
      <c r="J29" s="585"/>
      <c r="K29" s="585"/>
      <c r="L29" s="585"/>
      <c r="M29" s="586"/>
      <c r="O29" s="587">
        <f t="shared" si="0"/>
        <v>0</v>
      </c>
      <c r="V29" s="262"/>
      <c r="W29" s="255"/>
      <c r="AC29" s="262"/>
      <c r="AD29" s="588"/>
    </row>
    <row r="30" spans="1:31" ht="15" thickBot="1">
      <c r="A30" s="581" t="s">
        <v>2810</v>
      </c>
      <c r="B30" s="582" t="s">
        <v>174</v>
      </c>
      <c r="C30" s="583" t="s">
        <v>2717</v>
      </c>
      <c r="D30" s="583" t="s">
        <v>38</v>
      </c>
      <c r="E30" s="582" t="s">
        <v>33</v>
      </c>
      <c r="F30" s="584">
        <v>44548</v>
      </c>
      <c r="G30" s="584">
        <v>44722</v>
      </c>
      <c r="H30" s="584">
        <v>44736</v>
      </c>
      <c r="I30" s="585">
        <v>30500</v>
      </c>
      <c r="J30" s="585"/>
      <c r="K30" s="585"/>
      <c r="L30" s="585"/>
      <c r="M30" s="586"/>
      <c r="O30" s="587">
        <f t="shared" si="0"/>
        <v>0</v>
      </c>
      <c r="V30" s="262"/>
      <c r="W30" s="255"/>
      <c r="AC30" s="262"/>
      <c r="AD30" s="588"/>
    </row>
    <row r="31" spans="1:31" ht="15" thickBot="1">
      <c r="A31" s="581" t="s">
        <v>2811</v>
      </c>
      <c r="B31" s="582" t="s">
        <v>174</v>
      </c>
      <c r="C31" s="583" t="s">
        <v>2717</v>
      </c>
      <c r="D31" s="583" t="s">
        <v>38</v>
      </c>
      <c r="E31" s="582" t="s">
        <v>33</v>
      </c>
      <c r="F31" s="584">
        <v>44548</v>
      </c>
      <c r="G31" s="584">
        <v>44644</v>
      </c>
      <c r="H31" s="584">
        <v>44659</v>
      </c>
      <c r="I31" s="585">
        <v>810100</v>
      </c>
      <c r="J31" s="585"/>
      <c r="K31" s="585"/>
      <c r="L31" s="585"/>
      <c r="M31" s="586"/>
      <c r="O31" s="587">
        <f t="shared" si="0"/>
        <v>0</v>
      </c>
      <c r="V31" s="262"/>
      <c r="W31" s="255"/>
      <c r="AC31" s="262"/>
      <c r="AD31" s="588"/>
    </row>
    <row r="32" spans="1:31" ht="15" thickBot="1">
      <c r="A32" s="581" t="s">
        <v>2812</v>
      </c>
      <c r="B32" s="582" t="s">
        <v>23</v>
      </c>
      <c r="C32" s="583" t="s">
        <v>2717</v>
      </c>
      <c r="D32" s="583" t="s">
        <v>38</v>
      </c>
      <c r="E32" s="582" t="s">
        <v>33</v>
      </c>
      <c r="F32" s="584">
        <v>44548</v>
      </c>
      <c r="G32" s="584">
        <v>44644</v>
      </c>
      <c r="H32" s="584">
        <v>44659</v>
      </c>
      <c r="I32" s="585">
        <v>160500</v>
      </c>
      <c r="J32" s="585">
        <f>SUM(I29:I32)</f>
        <v>1181100</v>
      </c>
      <c r="K32" s="585">
        <v>721704</v>
      </c>
      <c r="L32" s="585">
        <f>+J32-K32</f>
        <v>459396</v>
      </c>
      <c r="M32" s="586"/>
      <c r="O32" s="587">
        <f t="shared" si="0"/>
        <v>459396</v>
      </c>
      <c r="V32" s="262"/>
      <c r="W32" s="255"/>
      <c r="AC32" s="262"/>
      <c r="AD32" s="588"/>
    </row>
    <row r="33" spans="1:30" ht="15" thickBot="1">
      <c r="A33" s="581" t="s">
        <v>2813</v>
      </c>
      <c r="B33" s="582" t="s">
        <v>174</v>
      </c>
      <c r="C33" s="583" t="s">
        <v>2682</v>
      </c>
      <c r="D33" s="583" t="s">
        <v>1186</v>
      </c>
      <c r="E33" s="582" t="s">
        <v>33</v>
      </c>
      <c r="F33" s="584">
        <v>44668</v>
      </c>
      <c r="G33" s="584">
        <v>44734</v>
      </c>
      <c r="H33" s="584">
        <v>44749</v>
      </c>
      <c r="I33" s="585">
        <v>767584.91</v>
      </c>
      <c r="J33" s="585"/>
      <c r="K33" s="585"/>
      <c r="L33" s="585"/>
      <c r="M33" s="586"/>
      <c r="O33" s="587">
        <f t="shared" si="0"/>
        <v>0</v>
      </c>
      <c r="V33" s="262"/>
      <c r="W33" s="255"/>
      <c r="AC33" s="262"/>
      <c r="AD33" s="588"/>
    </row>
    <row r="34" spans="1:30" ht="15" thickBot="1">
      <c r="A34" s="581" t="s">
        <v>2814</v>
      </c>
      <c r="B34" s="582" t="s">
        <v>1917</v>
      </c>
      <c r="C34" s="583" t="s">
        <v>2682</v>
      </c>
      <c r="D34" s="583" t="s">
        <v>1186</v>
      </c>
      <c r="E34" s="582" t="s">
        <v>33</v>
      </c>
      <c r="F34" s="584">
        <v>44668</v>
      </c>
      <c r="G34" s="584">
        <v>44792</v>
      </c>
      <c r="H34" s="584">
        <v>44798</v>
      </c>
      <c r="I34" s="585">
        <v>20000</v>
      </c>
      <c r="J34" s="585"/>
      <c r="K34" s="585"/>
      <c r="L34" s="585"/>
      <c r="M34" s="586"/>
      <c r="O34" s="587">
        <f t="shared" si="0"/>
        <v>0</v>
      </c>
      <c r="V34" s="262"/>
      <c r="W34" s="255"/>
      <c r="AC34" s="262"/>
      <c r="AD34" s="588"/>
    </row>
    <row r="35" spans="1:30" ht="15" thickBot="1">
      <c r="A35" s="581" t="s">
        <v>2815</v>
      </c>
      <c r="B35" s="582" t="s">
        <v>23</v>
      </c>
      <c r="C35" s="583" t="s">
        <v>2682</v>
      </c>
      <c r="D35" s="583" t="s">
        <v>1186</v>
      </c>
      <c r="E35" s="582" t="s">
        <v>33</v>
      </c>
      <c r="F35" s="584">
        <v>44668</v>
      </c>
      <c r="G35" s="584">
        <v>44792</v>
      </c>
      <c r="H35" s="584">
        <v>44806</v>
      </c>
      <c r="I35" s="585">
        <v>11606.24</v>
      </c>
      <c r="J35" s="585">
        <f>SUM(I33:I35)</f>
        <v>799191.15</v>
      </c>
      <c r="K35" s="585">
        <v>721704</v>
      </c>
      <c r="L35" s="585">
        <f>+J35-K35</f>
        <v>77487.150000000023</v>
      </c>
      <c r="M35" s="586"/>
      <c r="O35" s="587">
        <f t="shared" si="0"/>
        <v>77487.150000000023</v>
      </c>
      <c r="V35" s="262"/>
      <c r="W35" s="255"/>
      <c r="AC35" s="262"/>
      <c r="AD35" s="588"/>
    </row>
    <row r="36" spans="1:30" ht="15" thickBot="1">
      <c r="A36" s="581" t="s">
        <v>2934</v>
      </c>
      <c r="B36" s="582" t="s">
        <v>1985</v>
      </c>
      <c r="C36" s="583" t="s">
        <v>2937</v>
      </c>
      <c r="D36" s="583" t="s">
        <v>1594</v>
      </c>
      <c r="E36" s="582" t="s">
        <v>33</v>
      </c>
      <c r="F36" s="584">
        <v>44862</v>
      </c>
      <c r="G36" s="584">
        <v>44900</v>
      </c>
      <c r="H36" s="584">
        <v>44915</v>
      </c>
      <c r="I36" s="585">
        <v>660000</v>
      </c>
      <c r="J36" s="585"/>
      <c r="K36" s="585"/>
      <c r="L36" s="585"/>
      <c r="M36" s="586"/>
      <c r="O36" s="587">
        <f t="shared" si="0"/>
        <v>0</v>
      </c>
      <c r="V36" s="262"/>
      <c r="W36" s="255"/>
      <c r="AC36" s="262"/>
      <c r="AD36" s="588"/>
    </row>
    <row r="37" spans="1:30" ht="15" thickBot="1">
      <c r="A37" s="581" t="s">
        <v>2935</v>
      </c>
      <c r="B37" s="582" t="s">
        <v>174</v>
      </c>
      <c r="C37" s="583" t="s">
        <v>2937</v>
      </c>
      <c r="D37" s="583" t="s">
        <v>1594</v>
      </c>
      <c r="E37" s="582" t="s">
        <v>33</v>
      </c>
      <c r="F37" s="584">
        <v>44862</v>
      </c>
      <c r="G37" s="584">
        <v>45126</v>
      </c>
      <c r="H37" s="584">
        <v>45132</v>
      </c>
      <c r="I37" s="585">
        <v>210000</v>
      </c>
      <c r="J37" s="585"/>
      <c r="K37" s="585"/>
      <c r="L37" s="585"/>
      <c r="M37" s="586"/>
      <c r="O37" s="587">
        <f t="shared" si="0"/>
        <v>0</v>
      </c>
      <c r="V37" s="262"/>
      <c r="W37" s="255"/>
      <c r="AC37" s="262"/>
      <c r="AD37" s="588"/>
    </row>
    <row r="38" spans="1:30" ht="15" thickBot="1">
      <c r="A38" s="581" t="s">
        <v>3113</v>
      </c>
      <c r="B38" s="582" t="s">
        <v>1917</v>
      </c>
      <c r="C38" s="583" t="s">
        <v>2937</v>
      </c>
      <c r="D38" s="583" t="s">
        <v>1594</v>
      </c>
      <c r="E38" s="582" t="s">
        <v>33</v>
      </c>
      <c r="F38" s="584">
        <v>44862</v>
      </c>
      <c r="G38" s="584">
        <v>45282</v>
      </c>
      <c r="H38" s="584">
        <v>45288</v>
      </c>
      <c r="I38" s="585">
        <v>50000</v>
      </c>
      <c r="J38" s="585"/>
      <c r="K38" s="585"/>
      <c r="L38" s="585"/>
      <c r="M38" s="586"/>
      <c r="O38" s="587">
        <f t="shared" si="0"/>
        <v>0</v>
      </c>
      <c r="V38" s="262"/>
      <c r="W38" s="255"/>
      <c r="AC38" s="262"/>
      <c r="AD38" s="588"/>
    </row>
    <row r="39" spans="1:30" ht="15" thickBot="1">
      <c r="A39" s="581" t="s">
        <v>2936</v>
      </c>
      <c r="B39" s="582" t="s">
        <v>23</v>
      </c>
      <c r="C39" s="583" t="s">
        <v>2937</v>
      </c>
      <c r="D39" s="583" t="s">
        <v>1594</v>
      </c>
      <c r="E39" s="582" t="s">
        <v>33</v>
      </c>
      <c r="F39" s="584">
        <v>44862</v>
      </c>
      <c r="G39" s="584">
        <v>45126</v>
      </c>
      <c r="H39" s="584">
        <v>45132</v>
      </c>
      <c r="I39" s="585">
        <v>67120.81</v>
      </c>
      <c r="J39" s="585">
        <f>SUM(I36:I39)</f>
        <v>987120.81</v>
      </c>
      <c r="K39" s="585">
        <v>721704</v>
      </c>
      <c r="L39" s="585">
        <f>+J39-K39</f>
        <v>265416.81000000006</v>
      </c>
      <c r="M39" s="586"/>
      <c r="O39" s="587">
        <f t="shared" si="0"/>
        <v>265416.81000000006</v>
      </c>
      <c r="V39" s="262"/>
      <c r="W39" s="255"/>
      <c r="AC39" s="262"/>
      <c r="AD39" s="588"/>
    </row>
    <row r="40" spans="1:30" ht="15" thickBot="1">
      <c r="A40" s="581" t="s">
        <v>2816</v>
      </c>
      <c r="B40" s="582" t="s">
        <v>174</v>
      </c>
      <c r="C40" s="583" t="s">
        <v>2722</v>
      </c>
      <c r="D40" s="583" t="s">
        <v>192</v>
      </c>
      <c r="E40" s="582" t="s">
        <v>33</v>
      </c>
      <c r="F40" s="584">
        <v>44587</v>
      </c>
      <c r="G40" s="584">
        <v>44627</v>
      </c>
      <c r="H40" s="584">
        <v>44649</v>
      </c>
      <c r="I40" s="585">
        <v>940000</v>
      </c>
      <c r="J40" s="585"/>
      <c r="K40" s="585"/>
      <c r="L40" s="585"/>
      <c r="M40" s="586"/>
      <c r="O40" s="587">
        <f t="shared" si="0"/>
        <v>0</v>
      </c>
      <c r="V40" s="262"/>
      <c r="W40" s="255"/>
      <c r="AC40" s="262"/>
      <c r="AD40" s="588"/>
    </row>
    <row r="41" spans="1:30" ht="15" thickBot="1">
      <c r="A41" s="581" t="s">
        <v>2817</v>
      </c>
      <c r="B41" s="582" t="s">
        <v>23</v>
      </c>
      <c r="C41" s="583" t="s">
        <v>2722</v>
      </c>
      <c r="D41" s="583" t="s">
        <v>192</v>
      </c>
      <c r="E41" s="582" t="s">
        <v>33</v>
      </c>
      <c r="F41" s="584">
        <v>44587</v>
      </c>
      <c r="G41" s="584">
        <v>44627</v>
      </c>
      <c r="H41" s="584">
        <v>44649</v>
      </c>
      <c r="I41" s="585">
        <v>10185.84</v>
      </c>
      <c r="J41" s="585">
        <f>SUM(I40:I41)</f>
        <v>950185.84</v>
      </c>
      <c r="K41" s="585">
        <v>721704</v>
      </c>
      <c r="L41" s="585">
        <f>+J41-K41</f>
        <v>228481.83999999997</v>
      </c>
      <c r="M41" s="586"/>
      <c r="O41" s="587">
        <f t="shared" si="0"/>
        <v>228481.83999999997</v>
      </c>
      <c r="V41" s="262"/>
      <c r="W41" s="255"/>
      <c r="AC41" s="262"/>
      <c r="AD41" s="588"/>
    </row>
    <row r="42" spans="1:30" ht="15" thickBot="1">
      <c r="A42" s="581" t="s">
        <v>3114</v>
      </c>
      <c r="B42" s="582" t="s">
        <v>174</v>
      </c>
      <c r="C42" s="583" t="s">
        <v>3115</v>
      </c>
      <c r="D42" s="583" t="s">
        <v>3116</v>
      </c>
      <c r="E42" s="582" t="s">
        <v>33</v>
      </c>
      <c r="F42" s="584">
        <v>44821</v>
      </c>
      <c r="G42" s="584">
        <v>44869</v>
      </c>
      <c r="H42" s="584">
        <v>44938</v>
      </c>
      <c r="I42" s="585">
        <v>652800</v>
      </c>
      <c r="J42" s="585"/>
      <c r="K42" s="585"/>
      <c r="L42" s="585"/>
      <c r="M42" s="586"/>
      <c r="O42" s="587">
        <f t="shared" si="0"/>
        <v>0</v>
      </c>
      <c r="V42" s="262"/>
      <c r="W42" s="255"/>
      <c r="AC42" s="262"/>
      <c r="AD42" s="588"/>
    </row>
    <row r="43" spans="1:30" ht="15" thickBot="1">
      <c r="A43" s="581" t="s">
        <v>3117</v>
      </c>
      <c r="B43" s="582" t="s">
        <v>23</v>
      </c>
      <c r="C43" s="583" t="s">
        <v>3115</v>
      </c>
      <c r="D43" s="583" t="s">
        <v>3116</v>
      </c>
      <c r="E43" s="582" t="s">
        <v>33</v>
      </c>
      <c r="F43" s="584">
        <v>44821</v>
      </c>
      <c r="G43" s="584">
        <v>44869</v>
      </c>
      <c r="H43" s="584">
        <v>44882</v>
      </c>
      <c r="I43" s="585">
        <v>88925.13</v>
      </c>
      <c r="J43" s="585"/>
      <c r="K43" s="585"/>
      <c r="L43" s="585"/>
      <c r="M43" s="586"/>
      <c r="O43" s="587">
        <f t="shared" si="0"/>
        <v>0</v>
      </c>
      <c r="V43" s="262"/>
      <c r="W43" s="255"/>
      <c r="AC43" s="262"/>
      <c r="AD43" s="588"/>
    </row>
    <row r="44" spans="1:30" ht="15" thickBot="1">
      <c r="A44" s="581" t="s">
        <v>3114</v>
      </c>
      <c r="B44" s="582" t="s">
        <v>174</v>
      </c>
      <c r="C44" s="583" t="s">
        <v>3115</v>
      </c>
      <c r="D44" s="583" t="s">
        <v>3116</v>
      </c>
      <c r="E44" s="582" t="s">
        <v>33</v>
      </c>
      <c r="F44" s="584">
        <v>44821</v>
      </c>
      <c r="G44" s="584">
        <v>44869</v>
      </c>
      <c r="H44" s="584">
        <v>44938</v>
      </c>
      <c r="I44" s="585">
        <v>6000</v>
      </c>
      <c r="J44" s="585">
        <f>SUBTOTAL(9,I42:I44)</f>
        <v>747725.13</v>
      </c>
      <c r="K44" s="585">
        <v>721704</v>
      </c>
      <c r="L44" s="585">
        <f>J44-K44</f>
        <v>26021.130000000005</v>
      </c>
      <c r="M44" s="586"/>
      <c r="O44" s="587">
        <f t="shared" si="0"/>
        <v>26021.130000000005</v>
      </c>
      <c r="V44" s="262"/>
      <c r="W44" s="255"/>
      <c r="AC44" s="262"/>
      <c r="AD44" s="588"/>
    </row>
    <row r="45" spans="1:30" ht="15" thickBot="1">
      <c r="A45" s="581" t="s">
        <v>2818</v>
      </c>
      <c r="B45" s="582" t="s">
        <v>1985</v>
      </c>
      <c r="C45" s="583" t="s">
        <v>2911</v>
      </c>
      <c r="D45" s="583" t="s">
        <v>84</v>
      </c>
      <c r="E45" s="582" t="s">
        <v>33</v>
      </c>
      <c r="F45" s="584">
        <v>44869</v>
      </c>
      <c r="G45" s="584">
        <v>44888</v>
      </c>
      <c r="H45" s="584">
        <v>44908</v>
      </c>
      <c r="I45" s="585">
        <v>176042</v>
      </c>
      <c r="J45" s="585"/>
      <c r="K45" s="585"/>
      <c r="L45" s="585"/>
      <c r="M45" s="586"/>
      <c r="O45" s="587">
        <f t="shared" si="0"/>
        <v>0</v>
      </c>
      <c r="V45" s="262"/>
      <c r="W45" s="255"/>
      <c r="AC45" s="262"/>
      <c r="AD45" s="588"/>
    </row>
    <row r="46" spans="1:30" ht="15" thickBot="1">
      <c r="A46" s="581" t="s">
        <v>2819</v>
      </c>
      <c r="B46" s="582" t="s">
        <v>245</v>
      </c>
      <c r="C46" s="583" t="s">
        <v>2911</v>
      </c>
      <c r="D46" s="583" t="s">
        <v>84</v>
      </c>
      <c r="E46" s="582" t="s">
        <v>33</v>
      </c>
      <c r="F46" s="584">
        <v>44869</v>
      </c>
      <c r="G46" s="584">
        <v>44922</v>
      </c>
      <c r="H46" s="584">
        <v>44931</v>
      </c>
      <c r="I46" s="585">
        <v>107000</v>
      </c>
      <c r="J46" s="585"/>
      <c r="K46" s="585"/>
      <c r="L46" s="585"/>
      <c r="M46" s="586"/>
      <c r="O46" s="587">
        <f t="shared" si="0"/>
        <v>0</v>
      </c>
      <c r="V46" s="262"/>
      <c r="W46" s="255"/>
      <c r="AC46" s="262"/>
      <c r="AD46" s="588"/>
    </row>
    <row r="47" spans="1:30" ht="15" thickBot="1">
      <c r="A47" s="581" t="s">
        <v>2820</v>
      </c>
      <c r="B47" s="582" t="s">
        <v>1917</v>
      </c>
      <c r="C47" s="583" t="s">
        <v>2911</v>
      </c>
      <c r="D47" s="583" t="s">
        <v>84</v>
      </c>
      <c r="E47" s="582" t="s">
        <v>33</v>
      </c>
      <c r="F47" s="584">
        <v>44869</v>
      </c>
      <c r="G47" s="584">
        <v>44922</v>
      </c>
      <c r="H47" s="584">
        <v>44931</v>
      </c>
      <c r="I47" s="585">
        <v>50000</v>
      </c>
      <c r="J47" s="585"/>
      <c r="K47" s="585"/>
      <c r="L47" s="585"/>
      <c r="M47" s="586"/>
      <c r="O47" s="587">
        <f t="shared" si="0"/>
        <v>0</v>
      </c>
      <c r="V47" s="262"/>
      <c r="W47" s="255"/>
      <c r="AC47" s="262"/>
      <c r="AD47" s="588"/>
    </row>
    <row r="48" spans="1:30" ht="15" thickBot="1">
      <c r="A48" s="581" t="s">
        <v>2821</v>
      </c>
      <c r="B48" s="582" t="s">
        <v>174</v>
      </c>
      <c r="C48" s="583" t="s">
        <v>2911</v>
      </c>
      <c r="D48" s="583" t="s">
        <v>84</v>
      </c>
      <c r="E48" s="582" t="s">
        <v>33</v>
      </c>
      <c r="F48" s="584">
        <v>44869</v>
      </c>
      <c r="G48" s="584">
        <v>44922</v>
      </c>
      <c r="H48" s="584">
        <v>44931</v>
      </c>
      <c r="I48" s="585">
        <v>100000</v>
      </c>
      <c r="J48" s="585"/>
      <c r="K48" s="585"/>
      <c r="L48" s="585"/>
      <c r="M48" s="586"/>
      <c r="O48" s="587">
        <f t="shared" si="0"/>
        <v>0</v>
      </c>
      <c r="V48" s="262"/>
      <c r="W48" s="255"/>
      <c r="AC48" s="262"/>
      <c r="AD48" s="588"/>
    </row>
    <row r="49" spans="1:30" ht="15" thickBot="1">
      <c r="A49" s="581" t="s">
        <v>2822</v>
      </c>
      <c r="B49" s="582" t="s">
        <v>23</v>
      </c>
      <c r="C49" s="583" t="s">
        <v>2911</v>
      </c>
      <c r="D49" s="583" t="s">
        <v>84</v>
      </c>
      <c r="E49" s="582" t="s">
        <v>33</v>
      </c>
      <c r="F49" s="584">
        <v>44869</v>
      </c>
      <c r="G49" s="584">
        <v>44922</v>
      </c>
      <c r="H49" s="584">
        <v>44931</v>
      </c>
      <c r="I49" s="585">
        <v>59065.74</v>
      </c>
      <c r="J49" s="585"/>
      <c r="K49" s="585"/>
      <c r="L49" s="585"/>
      <c r="M49" s="586"/>
      <c r="O49" s="587">
        <f t="shared" si="0"/>
        <v>0</v>
      </c>
      <c r="V49" s="262"/>
      <c r="W49" s="255"/>
      <c r="AC49" s="262"/>
      <c r="AD49" s="588"/>
    </row>
    <row r="50" spans="1:30" ht="15" thickBot="1">
      <c r="A50" s="581" t="s">
        <v>2823</v>
      </c>
      <c r="B50" s="582" t="s">
        <v>174</v>
      </c>
      <c r="C50" s="583" t="s">
        <v>2911</v>
      </c>
      <c r="D50" s="583" t="s">
        <v>334</v>
      </c>
      <c r="E50" s="582" t="s">
        <v>33</v>
      </c>
      <c r="F50" s="584">
        <v>44869</v>
      </c>
      <c r="G50" s="584">
        <v>44928</v>
      </c>
      <c r="H50" s="584">
        <v>44938</v>
      </c>
      <c r="I50" s="585">
        <f>302545.29+7000</f>
        <v>309545.28999999998</v>
      </c>
      <c r="J50" s="585">
        <f>SUM(I45:I50)</f>
        <v>801653.03</v>
      </c>
      <c r="K50" s="585">
        <v>721704</v>
      </c>
      <c r="L50" s="585">
        <f>+J50-K50</f>
        <v>79949.030000000028</v>
      </c>
      <c r="M50" s="586"/>
      <c r="O50" s="587">
        <f t="shared" si="0"/>
        <v>79949.030000000028</v>
      </c>
      <c r="V50" s="262"/>
      <c r="W50" s="255"/>
      <c r="AC50" s="262"/>
      <c r="AD50" s="588"/>
    </row>
    <row r="51" spans="1:30" ht="15" thickBot="1">
      <c r="A51" s="581" t="s">
        <v>2938</v>
      </c>
      <c r="B51" s="582" t="s">
        <v>174</v>
      </c>
      <c r="C51" s="583" t="s">
        <v>2943</v>
      </c>
      <c r="D51" s="583" t="s">
        <v>606</v>
      </c>
      <c r="E51" s="582" t="s">
        <v>33</v>
      </c>
      <c r="F51" s="584">
        <v>44760</v>
      </c>
      <c r="G51" s="584">
        <v>44991</v>
      </c>
      <c r="H51" s="584">
        <v>45013</v>
      </c>
      <c r="I51" s="585">
        <v>235265.44</v>
      </c>
      <c r="J51" s="585"/>
      <c r="K51" s="585"/>
      <c r="L51" s="585"/>
      <c r="M51" s="586"/>
      <c r="O51" s="587">
        <f t="shared" si="0"/>
        <v>0</v>
      </c>
      <c r="V51" s="262"/>
      <c r="W51" s="255"/>
      <c r="AC51" s="262"/>
      <c r="AD51" s="588"/>
    </row>
    <row r="52" spans="1:30" ht="15" thickBot="1">
      <c r="A52" s="581" t="s">
        <v>2939</v>
      </c>
      <c r="B52" s="582" t="s">
        <v>174</v>
      </c>
      <c r="C52" s="583" t="s">
        <v>2943</v>
      </c>
      <c r="D52" s="583" t="s">
        <v>606</v>
      </c>
      <c r="E52" s="582" t="s">
        <v>33</v>
      </c>
      <c r="F52" s="584">
        <v>44760</v>
      </c>
      <c r="G52" s="584">
        <v>44991</v>
      </c>
      <c r="H52" s="584">
        <v>45013</v>
      </c>
      <c r="I52" s="585">
        <v>100000</v>
      </c>
      <c r="J52" s="585"/>
      <c r="K52" s="585"/>
      <c r="L52" s="585"/>
      <c r="M52" s="586"/>
      <c r="O52" s="587">
        <f t="shared" si="0"/>
        <v>0</v>
      </c>
      <c r="V52" s="262"/>
      <c r="W52" s="255"/>
      <c r="AC52" s="262"/>
      <c r="AD52" s="588"/>
    </row>
    <row r="53" spans="1:30" ht="15" thickBot="1">
      <c r="A53" s="581" t="s">
        <v>2940</v>
      </c>
      <c r="B53" s="582" t="s">
        <v>174</v>
      </c>
      <c r="C53" s="583" t="s">
        <v>2943</v>
      </c>
      <c r="D53" s="583" t="s">
        <v>606</v>
      </c>
      <c r="E53" s="582" t="s">
        <v>33</v>
      </c>
      <c r="F53" s="584">
        <v>44760</v>
      </c>
      <c r="G53" s="584">
        <v>45000</v>
      </c>
      <c r="H53" s="584">
        <v>45002</v>
      </c>
      <c r="I53" s="585">
        <v>440000</v>
      </c>
      <c r="J53" s="585"/>
      <c r="K53" s="585"/>
      <c r="L53" s="585"/>
      <c r="M53" s="586"/>
      <c r="O53" s="587">
        <f t="shared" si="0"/>
        <v>0</v>
      </c>
      <c r="V53" s="262"/>
      <c r="W53" s="255"/>
      <c r="AC53" s="262"/>
      <c r="AD53" s="588"/>
    </row>
    <row r="54" spans="1:30" ht="15" thickBot="1">
      <c r="A54" s="581" t="s">
        <v>2941</v>
      </c>
      <c r="B54" s="582" t="s">
        <v>23</v>
      </c>
      <c r="C54" s="583" t="s">
        <v>2943</v>
      </c>
      <c r="D54" s="583" t="s">
        <v>606</v>
      </c>
      <c r="E54" s="582" t="s">
        <v>33</v>
      </c>
      <c r="F54" s="584">
        <v>44760</v>
      </c>
      <c r="G54" s="584">
        <v>45000</v>
      </c>
      <c r="H54" s="584">
        <v>45002</v>
      </c>
      <c r="I54" s="585">
        <v>76734.039999999994</v>
      </c>
      <c r="J54" s="585"/>
      <c r="K54" s="585"/>
      <c r="L54" s="585"/>
      <c r="M54" s="586"/>
      <c r="O54" s="587">
        <f t="shared" si="0"/>
        <v>0</v>
      </c>
      <c r="V54" s="262"/>
      <c r="W54" s="255"/>
      <c r="AC54" s="262"/>
      <c r="AD54" s="588"/>
    </row>
    <row r="55" spans="1:30" ht="15" thickBot="1">
      <c r="A55" s="581" t="s">
        <v>2942</v>
      </c>
      <c r="B55" s="582" t="s">
        <v>30</v>
      </c>
      <c r="C55" s="583" t="s">
        <v>2943</v>
      </c>
      <c r="D55" s="583" t="s">
        <v>606</v>
      </c>
      <c r="E55" s="582" t="s">
        <v>33</v>
      </c>
      <c r="F55" s="584">
        <v>44760</v>
      </c>
      <c r="G55" s="584">
        <v>44991</v>
      </c>
      <c r="H55" s="584">
        <v>45007</v>
      </c>
      <c r="I55" s="585">
        <v>153000</v>
      </c>
      <c r="J55" s="585">
        <f>SUM(I51:I55)</f>
        <v>1004999.48</v>
      </c>
      <c r="K55" s="585">
        <v>721704</v>
      </c>
      <c r="L55" s="585">
        <f>+J55-K55</f>
        <v>283295.48</v>
      </c>
      <c r="M55" s="586"/>
      <c r="O55" s="587">
        <f t="shared" si="0"/>
        <v>283295.48</v>
      </c>
      <c r="V55" s="262"/>
      <c r="W55" s="255"/>
      <c r="AC55" s="262"/>
      <c r="AD55" s="588"/>
    </row>
    <row r="56" spans="1:30" ht="15" thickBot="1">
      <c r="A56" s="581" t="s">
        <v>2824</v>
      </c>
      <c r="B56" s="582" t="s">
        <v>93</v>
      </c>
      <c r="C56" s="583" t="s">
        <v>2711</v>
      </c>
      <c r="D56" s="583" t="s">
        <v>230</v>
      </c>
      <c r="E56" s="582" t="s">
        <v>26</v>
      </c>
      <c r="F56" s="584">
        <v>44532</v>
      </c>
      <c r="G56" s="584">
        <v>44704</v>
      </c>
      <c r="H56" s="584">
        <v>44728</v>
      </c>
      <c r="I56" s="585">
        <v>1197000</v>
      </c>
      <c r="J56" s="585">
        <f>+I56</f>
        <v>1197000</v>
      </c>
      <c r="K56" s="585">
        <v>721704</v>
      </c>
      <c r="L56" s="585">
        <f>+J56-K56</f>
        <v>475296</v>
      </c>
      <c r="M56" s="586"/>
      <c r="O56" s="587">
        <f t="shared" si="0"/>
        <v>475296</v>
      </c>
      <c r="V56" s="262"/>
      <c r="W56" s="255"/>
      <c r="AC56" s="262"/>
      <c r="AD56" s="588"/>
    </row>
    <row r="57" spans="1:30" ht="15" thickBot="1">
      <c r="A57" s="581" t="s">
        <v>2825</v>
      </c>
      <c r="B57" s="582" t="s">
        <v>174</v>
      </c>
      <c r="C57" s="583" t="s">
        <v>2728</v>
      </c>
      <c r="D57" s="583" t="s">
        <v>606</v>
      </c>
      <c r="E57" s="582" t="s">
        <v>33</v>
      </c>
      <c r="F57" s="584">
        <v>44653</v>
      </c>
      <c r="G57" s="584">
        <v>44722</v>
      </c>
      <c r="H57" s="584">
        <v>44736</v>
      </c>
      <c r="I57" s="585">
        <v>180000</v>
      </c>
      <c r="J57" s="585"/>
      <c r="K57" s="585"/>
      <c r="L57" s="585"/>
      <c r="M57" s="586"/>
      <c r="O57" s="587">
        <f t="shared" si="0"/>
        <v>0</v>
      </c>
      <c r="V57" s="262"/>
      <c r="W57" s="255"/>
      <c r="AC57" s="262"/>
      <c r="AD57" s="588"/>
    </row>
    <row r="58" spans="1:30" ht="15" thickBot="1">
      <c r="A58" s="581" t="s">
        <v>2826</v>
      </c>
      <c r="B58" s="582" t="s">
        <v>174</v>
      </c>
      <c r="C58" s="583" t="s">
        <v>2728</v>
      </c>
      <c r="D58" s="583" t="s">
        <v>606</v>
      </c>
      <c r="E58" s="582" t="s">
        <v>33</v>
      </c>
      <c r="F58" s="584">
        <v>44653</v>
      </c>
      <c r="G58" s="584">
        <v>44700</v>
      </c>
      <c r="H58" s="584">
        <v>44736</v>
      </c>
      <c r="I58" s="585">
        <v>963800</v>
      </c>
      <c r="J58" s="585"/>
      <c r="K58" s="585"/>
      <c r="L58" s="585"/>
      <c r="M58" s="586"/>
      <c r="O58" s="587">
        <f t="shared" si="0"/>
        <v>0</v>
      </c>
      <c r="V58" s="262"/>
      <c r="W58" s="255"/>
      <c r="AC58" s="262"/>
      <c r="AD58" s="588"/>
    </row>
    <row r="59" spans="1:30" ht="15" thickBot="1">
      <c r="A59" s="581" t="s">
        <v>2827</v>
      </c>
      <c r="B59" s="582" t="s">
        <v>23</v>
      </c>
      <c r="C59" s="583" t="s">
        <v>2728</v>
      </c>
      <c r="D59" s="583" t="s">
        <v>606</v>
      </c>
      <c r="E59" s="582" t="s">
        <v>33</v>
      </c>
      <c r="F59" s="584">
        <v>44653</v>
      </c>
      <c r="G59" s="584">
        <v>44700</v>
      </c>
      <c r="H59" s="584">
        <v>44707</v>
      </c>
      <c r="I59" s="585">
        <v>160500</v>
      </c>
      <c r="J59" s="585">
        <f>SUM(I57:I59)</f>
        <v>1304300</v>
      </c>
      <c r="K59" s="585">
        <v>721704</v>
      </c>
      <c r="L59" s="585">
        <f>+J59-K59</f>
        <v>582596</v>
      </c>
      <c r="M59" s="586"/>
      <c r="O59" s="587">
        <f t="shared" si="0"/>
        <v>582596</v>
      </c>
      <c r="V59" s="262"/>
      <c r="W59" s="255"/>
      <c r="AC59" s="262"/>
      <c r="AD59" s="588"/>
    </row>
    <row r="60" spans="1:30" ht="15" thickBot="1">
      <c r="A60" s="581" t="s">
        <v>2776</v>
      </c>
      <c r="B60" s="582" t="s">
        <v>174</v>
      </c>
      <c r="C60" s="583" t="s">
        <v>2777</v>
      </c>
      <c r="D60" s="583" t="s">
        <v>230</v>
      </c>
      <c r="E60" s="582" t="s">
        <v>26</v>
      </c>
      <c r="F60" s="584">
        <v>44726</v>
      </c>
      <c r="G60" s="584">
        <v>44789</v>
      </c>
      <c r="H60" s="584">
        <v>44798</v>
      </c>
      <c r="I60" s="585">
        <v>1231564.99</v>
      </c>
      <c r="J60" s="585"/>
      <c r="K60" s="585"/>
      <c r="L60" s="585"/>
      <c r="M60" s="586"/>
      <c r="O60" s="587">
        <f t="shared" si="0"/>
        <v>0</v>
      </c>
      <c r="V60" s="262"/>
      <c r="W60" s="255"/>
      <c r="AC60" s="262"/>
      <c r="AD60" s="588"/>
    </row>
    <row r="61" spans="1:30" ht="15" thickBot="1">
      <c r="A61" s="581" t="s">
        <v>2778</v>
      </c>
      <c r="B61" s="582" t="s">
        <v>23</v>
      </c>
      <c r="C61" s="583" t="s">
        <v>2777</v>
      </c>
      <c r="D61" s="583" t="s">
        <v>230</v>
      </c>
      <c r="E61" s="582" t="s">
        <v>26</v>
      </c>
      <c r="F61" s="584">
        <v>44726</v>
      </c>
      <c r="G61" s="584">
        <v>44789</v>
      </c>
      <c r="H61" s="584">
        <v>44798</v>
      </c>
      <c r="I61" s="585">
        <f>87500+80000</f>
        <v>167500</v>
      </c>
      <c r="J61" s="585">
        <f>+I61+I60</f>
        <v>1399064.99</v>
      </c>
      <c r="K61" s="585">
        <v>721704</v>
      </c>
      <c r="L61" s="585">
        <f>+J61-K61</f>
        <v>677360.99</v>
      </c>
      <c r="M61" s="586"/>
      <c r="O61" s="587">
        <f t="shared" si="0"/>
        <v>677360.99</v>
      </c>
      <c r="V61" s="262"/>
      <c r="W61" s="255"/>
      <c r="AC61" s="262"/>
      <c r="AD61" s="588"/>
    </row>
    <row r="62" spans="1:30" ht="15" thickBot="1">
      <c r="A62" s="581" t="s">
        <v>2828</v>
      </c>
      <c r="B62" s="582" t="s">
        <v>174</v>
      </c>
      <c r="C62" s="583" t="s">
        <v>2779</v>
      </c>
      <c r="D62" s="583" t="s">
        <v>230</v>
      </c>
      <c r="E62" s="582" t="s">
        <v>26</v>
      </c>
      <c r="F62" s="584">
        <v>44780</v>
      </c>
      <c r="G62" s="584">
        <v>44795</v>
      </c>
      <c r="H62" s="584">
        <v>44831</v>
      </c>
      <c r="I62" s="585">
        <v>1320000</v>
      </c>
      <c r="J62" s="585"/>
      <c r="K62" s="585"/>
      <c r="L62" s="585"/>
      <c r="M62" s="586"/>
      <c r="O62" s="587">
        <f t="shared" si="0"/>
        <v>0</v>
      </c>
      <c r="V62" s="262"/>
      <c r="W62" s="255"/>
      <c r="AC62" s="262"/>
      <c r="AD62" s="588"/>
    </row>
    <row r="63" spans="1:30" ht="15" thickBot="1">
      <c r="A63" s="581" t="s">
        <v>2829</v>
      </c>
      <c r="B63" s="582" t="s">
        <v>23</v>
      </c>
      <c r="C63" s="583" t="s">
        <v>2779</v>
      </c>
      <c r="D63" s="583" t="s">
        <v>230</v>
      </c>
      <c r="E63" s="582" t="s">
        <v>2780</v>
      </c>
      <c r="F63" s="584">
        <v>44780</v>
      </c>
      <c r="G63" s="584">
        <v>44795</v>
      </c>
      <c r="H63" s="584">
        <v>44799</v>
      </c>
      <c r="I63" s="585">
        <v>88031.4</v>
      </c>
      <c r="J63" s="585"/>
      <c r="K63" s="585"/>
      <c r="L63" s="585"/>
      <c r="M63" s="586"/>
      <c r="O63" s="587">
        <f t="shared" si="0"/>
        <v>0</v>
      </c>
      <c r="V63" s="262"/>
      <c r="W63" s="255"/>
      <c r="AC63" s="262"/>
      <c r="AD63" s="588"/>
    </row>
    <row r="64" spans="1:30" ht="15" thickBot="1">
      <c r="A64" s="581" t="s">
        <v>2830</v>
      </c>
      <c r="B64" s="582" t="s">
        <v>1900</v>
      </c>
      <c r="C64" s="583" t="s">
        <v>2779</v>
      </c>
      <c r="D64" s="583" t="s">
        <v>230</v>
      </c>
      <c r="E64" s="582" t="s">
        <v>26</v>
      </c>
      <c r="F64" s="584">
        <v>44780</v>
      </c>
      <c r="G64" s="584">
        <v>44812</v>
      </c>
      <c r="H64" s="584">
        <v>44823</v>
      </c>
      <c r="I64" s="585">
        <v>273000</v>
      </c>
      <c r="J64" s="585">
        <f>SUM(I62:I64)</f>
        <v>1681031.4</v>
      </c>
      <c r="K64" s="585">
        <v>721704</v>
      </c>
      <c r="L64" s="585">
        <f>+J64-K64</f>
        <v>959327.39999999991</v>
      </c>
      <c r="M64" s="586"/>
      <c r="O64" s="587">
        <f t="shared" si="0"/>
        <v>959327.39999999991</v>
      </c>
      <c r="V64" s="262"/>
      <c r="W64" s="255"/>
      <c r="AC64" s="262"/>
      <c r="AD64" s="588"/>
    </row>
    <row r="65" spans="1:30" ht="15" thickBot="1">
      <c r="A65" s="581" t="s">
        <v>2831</v>
      </c>
      <c r="B65" s="582" t="s">
        <v>174</v>
      </c>
      <c r="C65" s="583" t="s">
        <v>2912</v>
      </c>
      <c r="D65" s="583" t="s">
        <v>334</v>
      </c>
      <c r="E65" s="582" t="s">
        <v>33</v>
      </c>
      <c r="F65" s="584">
        <v>44848</v>
      </c>
      <c r="G65" s="584">
        <v>44876</v>
      </c>
      <c r="H65" s="584">
        <v>44921</v>
      </c>
      <c r="I65" s="585">
        <v>2000000</v>
      </c>
      <c r="J65" s="585"/>
      <c r="K65" s="585"/>
      <c r="L65" s="585"/>
      <c r="M65" s="586"/>
      <c r="O65" s="587">
        <f t="shared" si="0"/>
        <v>0</v>
      </c>
      <c r="V65" s="262"/>
      <c r="W65" s="255"/>
      <c r="AC65" s="262"/>
      <c r="AD65" s="588"/>
    </row>
    <row r="66" spans="1:30" ht="15" thickBot="1">
      <c r="A66" s="581" t="s">
        <v>2832</v>
      </c>
      <c r="B66" s="582" t="s">
        <v>23</v>
      </c>
      <c r="C66" s="583" t="s">
        <v>2912</v>
      </c>
      <c r="D66" s="583" t="s">
        <v>334</v>
      </c>
      <c r="E66" s="582" t="s">
        <v>33</v>
      </c>
      <c r="F66" s="584">
        <v>44848</v>
      </c>
      <c r="G66" s="584">
        <v>44921</v>
      </c>
      <c r="H66" s="584">
        <v>44923</v>
      </c>
      <c r="I66" s="585">
        <v>18762.3</v>
      </c>
      <c r="J66" s="585">
        <f>SUM(I65:I66)</f>
        <v>2018762.3</v>
      </c>
      <c r="K66" s="585">
        <v>721704</v>
      </c>
      <c r="L66" s="585">
        <f>+J66-K66</f>
        <v>1297058.3</v>
      </c>
      <c r="M66" s="586"/>
      <c r="O66" s="587">
        <f t="shared" si="0"/>
        <v>1297058.3</v>
      </c>
      <c r="V66" s="262"/>
      <c r="W66" s="255"/>
      <c r="AC66" s="262"/>
      <c r="AD66" s="588"/>
    </row>
    <row r="67" spans="1:30" ht="15" thickBot="1">
      <c r="A67" s="581" t="s">
        <v>2833</v>
      </c>
      <c r="B67" s="582" t="s">
        <v>174</v>
      </c>
      <c r="C67" s="583" t="s">
        <v>2781</v>
      </c>
      <c r="D67" s="583" t="s">
        <v>43</v>
      </c>
      <c r="E67" s="582" t="s">
        <v>33</v>
      </c>
      <c r="F67" s="584">
        <v>44612</v>
      </c>
      <c r="G67" s="584">
        <v>44719</v>
      </c>
      <c r="H67" s="584">
        <v>44802</v>
      </c>
      <c r="I67" s="585">
        <f>693300+5000</f>
        <v>698300</v>
      </c>
      <c r="J67" s="585"/>
      <c r="K67" s="585"/>
      <c r="L67" s="585"/>
      <c r="M67" s="586"/>
      <c r="O67" s="587">
        <f t="shared" si="0"/>
        <v>0</v>
      </c>
      <c r="V67" s="262"/>
      <c r="W67" s="255"/>
      <c r="AC67" s="262"/>
      <c r="AD67" s="588"/>
    </row>
    <row r="68" spans="1:30" ht="15" thickBot="1">
      <c r="A68" s="581" t="s">
        <v>2834</v>
      </c>
      <c r="B68" s="582" t="s">
        <v>23</v>
      </c>
      <c r="C68" s="583" t="s">
        <v>2781</v>
      </c>
      <c r="D68" s="583" t="s">
        <v>43</v>
      </c>
      <c r="E68" s="582" t="s">
        <v>33</v>
      </c>
      <c r="F68" s="584">
        <v>44612</v>
      </c>
      <c r="G68" s="584">
        <v>44719</v>
      </c>
      <c r="H68" s="584">
        <v>44728</v>
      </c>
      <c r="I68" s="585">
        <v>110000</v>
      </c>
      <c r="J68" s="585">
        <f>SUM(I67:I68)</f>
        <v>808300</v>
      </c>
      <c r="K68" s="585">
        <v>721704</v>
      </c>
      <c r="L68" s="585">
        <f>+J68-K68</f>
        <v>86596</v>
      </c>
      <c r="M68" s="586"/>
      <c r="O68" s="587">
        <f t="shared" si="0"/>
        <v>86596</v>
      </c>
      <c r="V68" s="262"/>
      <c r="W68" s="255"/>
      <c r="AC68" s="262"/>
      <c r="AD68" s="588"/>
    </row>
    <row r="69" spans="1:30" ht="15" thickBot="1">
      <c r="A69" s="581" t="s">
        <v>2835</v>
      </c>
      <c r="B69" s="582" t="s">
        <v>174</v>
      </c>
      <c r="C69" s="583" t="s">
        <v>2913</v>
      </c>
      <c r="D69" s="583" t="s">
        <v>38</v>
      </c>
      <c r="E69" s="582" t="s">
        <v>33</v>
      </c>
      <c r="F69" s="584">
        <v>44735</v>
      </c>
      <c r="G69" s="584">
        <v>44923</v>
      </c>
      <c r="H69" s="584">
        <v>44956</v>
      </c>
      <c r="I69" s="585">
        <v>5404569.4500000002</v>
      </c>
      <c r="J69" s="585">
        <f>I69</f>
        <v>5404569.4500000002</v>
      </c>
      <c r="K69" s="585">
        <v>721704</v>
      </c>
      <c r="L69" s="585">
        <f>+J69-K69</f>
        <v>4682865.45</v>
      </c>
      <c r="M69" s="586"/>
      <c r="O69" s="587">
        <f t="shared" si="0"/>
        <v>4682865.45</v>
      </c>
      <c r="V69" s="262"/>
      <c r="W69" s="255"/>
      <c r="AC69" s="262"/>
      <c r="AD69" s="588"/>
    </row>
    <row r="70" spans="1:30" ht="15" thickBot="1">
      <c r="A70" s="581" t="s">
        <v>2836</v>
      </c>
      <c r="B70" s="582" t="s">
        <v>1917</v>
      </c>
      <c r="C70" s="583" t="s">
        <v>2681</v>
      </c>
      <c r="D70" s="583" t="s">
        <v>2914</v>
      </c>
      <c r="E70" s="582" t="s">
        <v>33</v>
      </c>
      <c r="F70" s="584">
        <v>44623</v>
      </c>
      <c r="G70" s="584">
        <v>44637</v>
      </c>
      <c r="H70" s="584">
        <v>44649</v>
      </c>
      <c r="I70" s="585">
        <v>50000</v>
      </c>
      <c r="J70" s="585"/>
      <c r="K70" s="585"/>
      <c r="L70" s="585"/>
      <c r="M70" s="586"/>
      <c r="O70" s="587">
        <f t="shared" si="0"/>
        <v>0</v>
      </c>
      <c r="V70" s="262"/>
      <c r="W70" s="255"/>
      <c r="AC70" s="262"/>
      <c r="AD70" s="588"/>
    </row>
    <row r="71" spans="1:30" ht="15" thickBot="1">
      <c r="A71" s="581" t="s">
        <v>2837</v>
      </c>
      <c r="B71" s="582" t="s">
        <v>30</v>
      </c>
      <c r="C71" s="583" t="s">
        <v>2681</v>
      </c>
      <c r="D71" s="583" t="s">
        <v>2914</v>
      </c>
      <c r="E71" s="582" t="s">
        <v>33</v>
      </c>
      <c r="F71" s="584">
        <v>44623</v>
      </c>
      <c r="G71" s="584">
        <v>44637</v>
      </c>
      <c r="H71" s="584">
        <v>44649</v>
      </c>
      <c r="I71" s="585">
        <v>54500</v>
      </c>
      <c r="J71" s="585"/>
      <c r="K71" s="585"/>
      <c r="L71" s="585"/>
      <c r="M71" s="586"/>
      <c r="O71" s="587">
        <f t="shared" si="0"/>
        <v>0</v>
      </c>
      <c r="V71" s="262"/>
      <c r="W71" s="255"/>
      <c r="AC71" s="262"/>
      <c r="AD71" s="588"/>
    </row>
    <row r="72" spans="1:30" ht="15" thickBot="1">
      <c r="A72" s="581" t="s">
        <v>2838</v>
      </c>
      <c r="B72" s="582" t="s">
        <v>174</v>
      </c>
      <c r="C72" s="583" t="s">
        <v>2681</v>
      </c>
      <c r="D72" s="583" t="s">
        <v>2914</v>
      </c>
      <c r="E72" s="582" t="s">
        <v>33</v>
      </c>
      <c r="F72" s="584">
        <v>44623</v>
      </c>
      <c r="G72" s="584">
        <v>44637</v>
      </c>
      <c r="H72" s="584">
        <v>44649</v>
      </c>
      <c r="I72" s="585">
        <v>719120.12</v>
      </c>
      <c r="J72" s="585"/>
      <c r="K72" s="585"/>
      <c r="L72" s="585"/>
      <c r="M72" s="586"/>
      <c r="O72" s="587">
        <f t="shared" si="0"/>
        <v>0</v>
      </c>
      <c r="V72" s="262"/>
      <c r="W72" s="255"/>
      <c r="AC72" s="262"/>
      <c r="AD72" s="588"/>
    </row>
    <row r="73" spans="1:30" ht="15" thickBot="1">
      <c r="A73" s="581" t="s">
        <v>2839</v>
      </c>
      <c r="B73" s="582" t="s">
        <v>174</v>
      </c>
      <c r="C73" s="583" t="s">
        <v>2681</v>
      </c>
      <c r="D73" s="583" t="s">
        <v>2914</v>
      </c>
      <c r="E73" s="582" t="s">
        <v>33</v>
      </c>
      <c r="F73" s="584">
        <v>44623</v>
      </c>
      <c r="G73" s="584">
        <v>44713</v>
      </c>
      <c r="H73" s="584">
        <v>44728</v>
      </c>
      <c r="I73" s="585">
        <v>89812.27</v>
      </c>
      <c r="J73" s="585">
        <f>SUM(I70:I73)</f>
        <v>913432.39</v>
      </c>
      <c r="K73" s="585">
        <v>721704</v>
      </c>
      <c r="L73" s="585">
        <f>+J73-K73</f>
        <v>191728.39</v>
      </c>
      <c r="M73" s="586"/>
      <c r="O73" s="587">
        <f t="shared" si="0"/>
        <v>191728.39</v>
      </c>
      <c r="V73" s="262"/>
      <c r="W73" s="255"/>
      <c r="AC73" s="262"/>
      <c r="AD73" s="588"/>
    </row>
    <row r="74" spans="1:30" ht="15" thickBot="1">
      <c r="A74" s="581" t="s">
        <v>2840</v>
      </c>
      <c r="B74" s="582" t="s">
        <v>174</v>
      </c>
      <c r="C74" s="583" t="s">
        <v>2915</v>
      </c>
      <c r="D74" s="583" t="s">
        <v>2916</v>
      </c>
      <c r="E74" s="582" t="s">
        <v>33</v>
      </c>
      <c r="F74" s="584">
        <v>44796</v>
      </c>
      <c r="G74" s="584">
        <v>44931</v>
      </c>
      <c r="H74" s="584">
        <v>44938</v>
      </c>
      <c r="I74" s="585">
        <v>615000</v>
      </c>
      <c r="J74" s="585"/>
      <c r="K74" s="585"/>
      <c r="L74" s="585"/>
      <c r="M74" s="586"/>
      <c r="O74" s="587">
        <f t="shared" si="0"/>
        <v>0</v>
      </c>
      <c r="V74" s="262"/>
      <c r="W74" s="255"/>
      <c r="AC74" s="262"/>
      <c r="AD74" s="588"/>
    </row>
    <row r="75" spans="1:30" ht="15" thickBot="1">
      <c r="A75" s="581" t="s">
        <v>2841</v>
      </c>
      <c r="B75" s="582" t="s">
        <v>23</v>
      </c>
      <c r="C75" s="583" t="s">
        <v>2915</v>
      </c>
      <c r="D75" s="583" t="s">
        <v>2916</v>
      </c>
      <c r="E75" s="582" t="s">
        <v>33</v>
      </c>
      <c r="F75" s="584">
        <v>44796</v>
      </c>
      <c r="G75" s="584">
        <v>44931</v>
      </c>
      <c r="H75" s="584">
        <v>44938</v>
      </c>
      <c r="I75" s="585">
        <v>110000</v>
      </c>
      <c r="J75" s="585">
        <f>I74+I75</f>
        <v>725000</v>
      </c>
      <c r="K75" s="585">
        <v>721704</v>
      </c>
      <c r="L75" s="585">
        <f>+J75-K75</f>
        <v>3296</v>
      </c>
      <c r="M75" s="586"/>
      <c r="O75" s="587">
        <f t="shared" ref="O75:O138" si="1">IF($J75&gt;P$8,$J75-P$8,0)</f>
        <v>3296</v>
      </c>
      <c r="V75" s="262"/>
      <c r="W75" s="255"/>
      <c r="AC75" s="262"/>
      <c r="AD75" s="588"/>
    </row>
    <row r="76" spans="1:30" ht="15" thickBot="1">
      <c r="A76" s="581" t="s">
        <v>3017</v>
      </c>
      <c r="B76" s="582" t="s">
        <v>174</v>
      </c>
      <c r="C76" s="583" t="s">
        <v>3018</v>
      </c>
      <c r="D76" s="583" t="s">
        <v>3019</v>
      </c>
      <c r="E76" s="582" t="s">
        <v>33</v>
      </c>
      <c r="F76" s="584">
        <v>44896</v>
      </c>
      <c r="G76" s="584">
        <v>45070</v>
      </c>
      <c r="H76" s="584">
        <v>45183</v>
      </c>
      <c r="I76" s="585">
        <v>760000</v>
      </c>
      <c r="J76" s="585">
        <f>+I76</f>
        <v>760000</v>
      </c>
      <c r="K76" s="585">
        <v>721704</v>
      </c>
      <c r="L76" s="585">
        <f>+J76-K76</f>
        <v>38296</v>
      </c>
      <c r="M76" s="586"/>
      <c r="O76" s="587">
        <f t="shared" si="1"/>
        <v>38296</v>
      </c>
      <c r="V76" s="262"/>
      <c r="W76" s="255"/>
      <c r="AC76" s="262"/>
      <c r="AD76" s="588"/>
    </row>
    <row r="77" spans="1:30" ht="15" thickBot="1">
      <c r="A77" s="581" t="s">
        <v>3061</v>
      </c>
      <c r="B77" s="582" t="s">
        <v>174</v>
      </c>
      <c r="C77" s="583" t="s">
        <v>3062</v>
      </c>
      <c r="D77" s="583" t="s">
        <v>38</v>
      </c>
      <c r="E77" s="582" t="s">
        <v>33</v>
      </c>
      <c r="F77" s="584">
        <v>44736</v>
      </c>
      <c r="G77" s="584">
        <v>45203</v>
      </c>
      <c r="H77" s="584">
        <v>45218</v>
      </c>
      <c r="I77" s="585">
        <v>761533.36</v>
      </c>
      <c r="J77" s="585">
        <f>+I77</f>
        <v>761533.36</v>
      </c>
      <c r="K77" s="585">
        <v>721704</v>
      </c>
      <c r="L77" s="585">
        <f>+J77-K77</f>
        <v>39829.359999999986</v>
      </c>
      <c r="M77" s="586"/>
      <c r="O77" s="587">
        <f t="shared" si="1"/>
        <v>39829.359999999986</v>
      </c>
      <c r="V77" s="262"/>
      <c r="W77" s="255"/>
      <c r="AC77" s="262"/>
      <c r="AD77" s="588"/>
    </row>
    <row r="78" spans="1:30" ht="15" thickBot="1">
      <c r="A78" s="581" t="s">
        <v>2842</v>
      </c>
      <c r="B78" s="582" t="s">
        <v>174</v>
      </c>
      <c r="C78" s="583" t="s">
        <v>2917</v>
      </c>
      <c r="D78" s="583" t="s">
        <v>2918</v>
      </c>
      <c r="E78" s="582" t="s">
        <v>33</v>
      </c>
      <c r="F78" s="584">
        <v>44786</v>
      </c>
      <c r="G78" s="584">
        <v>44883</v>
      </c>
      <c r="H78" s="584">
        <v>44890</v>
      </c>
      <c r="I78" s="585">
        <v>200000</v>
      </c>
      <c r="J78" s="585"/>
      <c r="K78" s="585"/>
      <c r="L78" s="585"/>
      <c r="M78" s="586"/>
      <c r="O78" s="587">
        <f t="shared" si="1"/>
        <v>0</v>
      </c>
      <c r="V78" s="262"/>
      <c r="W78" s="255"/>
      <c r="AC78" s="262"/>
      <c r="AD78" s="588"/>
    </row>
    <row r="79" spans="1:30" ht="15" thickBot="1">
      <c r="A79" s="581" t="s">
        <v>2843</v>
      </c>
      <c r="B79" s="582" t="s">
        <v>23</v>
      </c>
      <c r="C79" s="583" t="s">
        <v>2917</v>
      </c>
      <c r="D79" s="583" t="s">
        <v>2918</v>
      </c>
      <c r="E79" s="582" t="s">
        <v>33</v>
      </c>
      <c r="F79" s="584">
        <v>44786</v>
      </c>
      <c r="G79" s="584">
        <v>44883</v>
      </c>
      <c r="H79" s="584">
        <v>44890</v>
      </c>
      <c r="I79" s="585">
        <v>53925.13</v>
      </c>
      <c r="J79" s="585"/>
      <c r="K79" s="585"/>
      <c r="L79" s="585"/>
      <c r="M79" s="586"/>
      <c r="O79" s="587">
        <f t="shared" si="1"/>
        <v>0</v>
      </c>
      <c r="V79" s="262"/>
      <c r="W79" s="255"/>
      <c r="AC79" s="262"/>
      <c r="AD79" s="588"/>
    </row>
    <row r="80" spans="1:30" ht="15" thickBot="1">
      <c r="A80" s="581" t="s">
        <v>2844</v>
      </c>
      <c r="B80" s="582" t="s">
        <v>93</v>
      </c>
      <c r="C80" s="583" t="s">
        <v>2917</v>
      </c>
      <c r="D80" s="583" t="s">
        <v>2918</v>
      </c>
      <c r="E80" s="582" t="s">
        <v>33</v>
      </c>
      <c r="F80" s="584">
        <v>44786</v>
      </c>
      <c r="G80" s="584">
        <v>44805</v>
      </c>
      <c r="H80" s="584">
        <v>44831</v>
      </c>
      <c r="I80" s="585">
        <v>520000</v>
      </c>
      <c r="J80" s="585">
        <f>SUM(I78:I80)</f>
        <v>773925.13</v>
      </c>
      <c r="K80" s="585">
        <v>721704</v>
      </c>
      <c r="L80" s="585">
        <f>+J80-K80</f>
        <v>52221.130000000005</v>
      </c>
      <c r="M80" s="586"/>
      <c r="O80" s="587">
        <f t="shared" si="1"/>
        <v>52221.130000000005</v>
      </c>
      <c r="V80" s="262"/>
      <c r="W80" s="255"/>
      <c r="AC80" s="262"/>
      <c r="AD80" s="588"/>
    </row>
    <row r="81" spans="1:30" ht="15" thickBot="1">
      <c r="A81" s="581" t="s">
        <v>2845</v>
      </c>
      <c r="B81" s="582" t="s">
        <v>93</v>
      </c>
      <c r="C81" s="583" t="s">
        <v>2919</v>
      </c>
      <c r="D81" s="583" t="s">
        <v>2916</v>
      </c>
      <c r="E81" s="582" t="s">
        <v>33</v>
      </c>
      <c r="F81" s="584">
        <v>44925</v>
      </c>
      <c r="G81" s="584">
        <v>44952</v>
      </c>
      <c r="H81" s="584">
        <v>44956</v>
      </c>
      <c r="I81" s="585">
        <v>551000</v>
      </c>
      <c r="J81" s="585"/>
      <c r="K81" s="585"/>
      <c r="L81" s="585"/>
      <c r="M81" s="586"/>
      <c r="O81" s="587">
        <f t="shared" si="1"/>
        <v>0</v>
      </c>
      <c r="V81" s="262"/>
      <c r="W81" s="255"/>
      <c r="AC81" s="262"/>
      <c r="AD81" s="588"/>
    </row>
    <row r="82" spans="1:30" ht="15" thickBot="1">
      <c r="A82" s="581" t="s">
        <v>2846</v>
      </c>
      <c r="B82" s="582" t="s">
        <v>1917</v>
      </c>
      <c r="C82" s="583" t="s">
        <v>2919</v>
      </c>
      <c r="D82" s="583" t="s">
        <v>2916</v>
      </c>
      <c r="E82" s="582" t="s">
        <v>33</v>
      </c>
      <c r="F82" s="584">
        <v>44925</v>
      </c>
      <c r="G82" s="584">
        <v>44952</v>
      </c>
      <c r="H82" s="584">
        <v>44956</v>
      </c>
      <c r="I82" s="585">
        <v>100000</v>
      </c>
      <c r="J82" s="585"/>
      <c r="K82" s="585"/>
      <c r="L82" s="585"/>
      <c r="M82" s="586"/>
      <c r="O82" s="587">
        <f t="shared" si="1"/>
        <v>0</v>
      </c>
      <c r="V82" s="262"/>
      <c r="W82" s="255"/>
      <c r="AC82" s="262"/>
      <c r="AD82" s="588"/>
    </row>
    <row r="83" spans="1:30" ht="15" thickBot="1">
      <c r="A83" s="581" t="s">
        <v>2847</v>
      </c>
      <c r="B83" s="582" t="s">
        <v>174</v>
      </c>
      <c r="C83" s="583" t="s">
        <v>2919</v>
      </c>
      <c r="D83" s="583" t="s">
        <v>2916</v>
      </c>
      <c r="E83" s="582" t="s">
        <v>33</v>
      </c>
      <c r="F83" s="584">
        <v>44925</v>
      </c>
      <c r="G83" s="584">
        <v>44952</v>
      </c>
      <c r="H83" s="584">
        <v>44956</v>
      </c>
      <c r="I83" s="585">
        <v>1010600</v>
      </c>
      <c r="J83" s="585"/>
      <c r="K83" s="585"/>
      <c r="L83" s="585"/>
      <c r="M83" s="586"/>
      <c r="O83" s="587">
        <f t="shared" si="1"/>
        <v>0</v>
      </c>
      <c r="V83" s="262"/>
      <c r="W83" s="255"/>
      <c r="AC83" s="262"/>
      <c r="AD83" s="588"/>
    </row>
    <row r="84" spans="1:30" ht="15" thickBot="1">
      <c r="A84" s="581" t="s">
        <v>2848</v>
      </c>
      <c r="B84" s="582" t="s">
        <v>23</v>
      </c>
      <c r="C84" s="583" t="s">
        <v>2919</v>
      </c>
      <c r="D84" s="583" t="s">
        <v>2916</v>
      </c>
      <c r="E84" s="582" t="s">
        <v>33</v>
      </c>
      <c r="F84" s="584">
        <v>44925</v>
      </c>
      <c r="G84" s="584">
        <v>44952</v>
      </c>
      <c r="H84" s="584">
        <v>44956</v>
      </c>
      <c r="I84" s="585">
        <v>110000</v>
      </c>
      <c r="J84" s="585">
        <f>SUM(I81:I84)</f>
        <v>1771600</v>
      </c>
      <c r="K84" s="585">
        <v>721704</v>
      </c>
      <c r="L84" s="585">
        <f>+J84-K84</f>
        <v>1049896</v>
      </c>
      <c r="M84" s="586"/>
      <c r="O84" s="587">
        <f t="shared" si="1"/>
        <v>1049896</v>
      </c>
      <c r="V84" s="262"/>
      <c r="W84" s="255"/>
      <c r="AC84" s="262"/>
      <c r="AD84" s="588"/>
    </row>
    <row r="85" spans="1:30" ht="15" thickBot="1">
      <c r="A85" s="581" t="s">
        <v>2849</v>
      </c>
      <c r="B85" s="582" t="s">
        <v>174</v>
      </c>
      <c r="C85" s="583" t="s">
        <v>2724</v>
      </c>
      <c r="D85" s="583" t="s">
        <v>2733</v>
      </c>
      <c r="E85" s="582" t="s">
        <v>33</v>
      </c>
      <c r="F85" s="584">
        <v>44584</v>
      </c>
      <c r="G85" s="584">
        <v>44643</v>
      </c>
      <c r="H85" s="584">
        <v>44669</v>
      </c>
      <c r="I85" s="585">
        <v>705000</v>
      </c>
      <c r="J85" s="585"/>
      <c r="K85" s="585"/>
      <c r="L85" s="585"/>
      <c r="M85" s="586"/>
      <c r="O85" s="587">
        <f t="shared" si="1"/>
        <v>0</v>
      </c>
      <c r="V85" s="262"/>
      <c r="W85" s="255"/>
      <c r="AC85" s="262"/>
      <c r="AD85" s="588"/>
    </row>
    <row r="86" spans="1:30" ht="15" thickBot="1">
      <c r="A86" s="581" t="s">
        <v>2850</v>
      </c>
      <c r="B86" s="582" t="s">
        <v>23</v>
      </c>
      <c r="C86" s="583" t="s">
        <v>2724</v>
      </c>
      <c r="D86" s="583" t="s">
        <v>2733</v>
      </c>
      <c r="E86" s="582" t="s">
        <v>33</v>
      </c>
      <c r="F86" s="584">
        <v>44584</v>
      </c>
      <c r="G86" s="584">
        <v>44643</v>
      </c>
      <c r="H86" s="584">
        <v>44669</v>
      </c>
      <c r="I86" s="585">
        <v>29617.94</v>
      </c>
      <c r="J86" s="585">
        <f>SUM(I85:I86)</f>
        <v>734617.94</v>
      </c>
      <c r="K86" s="585">
        <v>721704</v>
      </c>
      <c r="L86" s="585">
        <f>+J86-K86</f>
        <v>12913.939999999944</v>
      </c>
      <c r="M86" s="586"/>
      <c r="O86" s="587">
        <f t="shared" si="1"/>
        <v>12913.939999999944</v>
      </c>
      <c r="V86" s="262"/>
      <c r="W86" s="255"/>
      <c r="AC86" s="262"/>
      <c r="AD86" s="588"/>
    </row>
    <row r="87" spans="1:30" ht="15" thickBot="1">
      <c r="A87" s="581" t="s">
        <v>2782</v>
      </c>
      <c r="B87" s="582" t="s">
        <v>174</v>
      </c>
      <c r="C87" s="583" t="s">
        <v>2783</v>
      </c>
      <c r="D87" s="583" t="s">
        <v>2553</v>
      </c>
      <c r="E87" s="582" t="s">
        <v>33</v>
      </c>
      <c r="F87" s="584">
        <v>44749</v>
      </c>
      <c r="G87" s="584">
        <v>44813</v>
      </c>
      <c r="H87" s="584">
        <v>44823</v>
      </c>
      <c r="I87" s="585">
        <v>122185.9</v>
      </c>
      <c r="J87" s="585"/>
      <c r="K87" s="585"/>
      <c r="L87" s="585"/>
      <c r="M87" s="586"/>
      <c r="O87" s="587">
        <f t="shared" si="1"/>
        <v>0</v>
      </c>
      <c r="V87" s="262"/>
      <c r="W87" s="255"/>
      <c r="AC87" s="262"/>
      <c r="AD87" s="588"/>
    </row>
    <row r="88" spans="1:30" ht="15" thickBot="1">
      <c r="A88" s="581" t="s">
        <v>2851</v>
      </c>
      <c r="B88" s="582" t="s">
        <v>93</v>
      </c>
      <c r="C88" s="583" t="s">
        <v>2783</v>
      </c>
      <c r="D88" s="583" t="s">
        <v>2553</v>
      </c>
      <c r="E88" s="582" t="s">
        <v>33</v>
      </c>
      <c r="F88" s="584">
        <v>44749</v>
      </c>
      <c r="G88" s="584">
        <v>44816</v>
      </c>
      <c r="H88" s="584">
        <v>44824</v>
      </c>
      <c r="I88" s="585">
        <v>1010000</v>
      </c>
      <c r="J88" s="585">
        <f>SUM(I87:I88)</f>
        <v>1132185.8999999999</v>
      </c>
      <c r="K88" s="585">
        <v>721704</v>
      </c>
      <c r="L88" s="585">
        <f>+J88-K88</f>
        <v>410481.89999999991</v>
      </c>
      <c r="M88" s="586"/>
      <c r="O88" s="587">
        <f t="shared" si="1"/>
        <v>410481.89999999991</v>
      </c>
      <c r="V88" s="262"/>
      <c r="W88" s="255"/>
      <c r="AC88" s="262"/>
      <c r="AD88" s="588"/>
    </row>
    <row r="89" spans="1:30" ht="15" thickBot="1">
      <c r="A89" s="581" t="s">
        <v>2852</v>
      </c>
      <c r="B89" s="582" t="s">
        <v>174</v>
      </c>
      <c r="C89" s="583" t="s">
        <v>2727</v>
      </c>
      <c r="D89" s="583" t="s">
        <v>84</v>
      </c>
      <c r="E89" s="582" t="s">
        <v>33</v>
      </c>
      <c r="F89" s="584">
        <v>44586</v>
      </c>
      <c r="G89" s="584">
        <v>44621</v>
      </c>
      <c r="H89" s="584">
        <v>44643</v>
      </c>
      <c r="I89" s="585">
        <v>76344.45</v>
      </c>
      <c r="J89" s="585"/>
      <c r="K89" s="585"/>
      <c r="L89" s="585"/>
      <c r="M89" s="586"/>
      <c r="O89" s="587">
        <f t="shared" si="1"/>
        <v>0</v>
      </c>
      <c r="V89" s="262"/>
      <c r="W89" s="255"/>
      <c r="AC89" s="262"/>
      <c r="AD89" s="588"/>
    </row>
    <row r="90" spans="1:30" ht="15" thickBot="1">
      <c r="A90" s="581" t="s">
        <v>2853</v>
      </c>
      <c r="B90" s="582" t="s">
        <v>23</v>
      </c>
      <c r="C90" s="583" t="s">
        <v>2727</v>
      </c>
      <c r="D90" s="583" t="s">
        <v>84</v>
      </c>
      <c r="E90" s="582" t="s">
        <v>33</v>
      </c>
      <c r="F90" s="584">
        <v>44586</v>
      </c>
      <c r="G90" s="584">
        <v>44621</v>
      </c>
      <c r="H90" s="584">
        <v>44643</v>
      </c>
      <c r="I90" s="585">
        <v>87500</v>
      </c>
      <c r="J90" s="585"/>
      <c r="K90" s="585"/>
      <c r="L90" s="585"/>
      <c r="M90" s="586"/>
      <c r="O90" s="587">
        <f t="shared" si="1"/>
        <v>0</v>
      </c>
      <c r="V90" s="262"/>
      <c r="W90" s="255"/>
      <c r="AC90" s="262"/>
      <c r="AD90" s="588"/>
    </row>
    <row r="91" spans="1:30" ht="15" thickBot="1">
      <c r="A91" s="581" t="s">
        <v>2854</v>
      </c>
      <c r="B91" s="582" t="s">
        <v>174</v>
      </c>
      <c r="C91" s="583" t="s">
        <v>2727</v>
      </c>
      <c r="D91" s="583" t="s">
        <v>84</v>
      </c>
      <c r="E91" s="582" t="s">
        <v>33</v>
      </c>
      <c r="F91" s="584">
        <v>44586</v>
      </c>
      <c r="G91" s="584">
        <v>44652</v>
      </c>
      <c r="H91" s="584">
        <v>44699</v>
      </c>
      <c r="I91" s="585">
        <f>447000+7000</f>
        <v>454000</v>
      </c>
      <c r="J91" s="585"/>
      <c r="K91" s="585"/>
      <c r="L91" s="585"/>
      <c r="M91" s="586"/>
      <c r="O91" s="587">
        <f t="shared" si="1"/>
        <v>0</v>
      </c>
      <c r="V91" s="262"/>
      <c r="W91" s="255"/>
      <c r="AC91" s="262"/>
      <c r="AD91" s="588"/>
    </row>
    <row r="92" spans="1:30" ht="15" thickBot="1">
      <c r="A92" s="581" t="s">
        <v>2855</v>
      </c>
      <c r="B92" s="582" t="s">
        <v>23</v>
      </c>
      <c r="C92" s="583" t="s">
        <v>2727</v>
      </c>
      <c r="D92" s="583" t="s">
        <v>84</v>
      </c>
      <c r="E92" s="582" t="s">
        <v>33</v>
      </c>
      <c r="F92" s="584">
        <v>44586</v>
      </c>
      <c r="G92" s="584">
        <v>44652</v>
      </c>
      <c r="H92" s="584">
        <v>44662</v>
      </c>
      <c r="I92" s="585">
        <v>113635.18</v>
      </c>
      <c r="J92" s="585">
        <f>SUM(I89:I92)</f>
        <v>731479.62999999989</v>
      </c>
      <c r="K92" s="585">
        <v>721704</v>
      </c>
      <c r="L92" s="585">
        <f>+J92-K92</f>
        <v>9775.6299999998882</v>
      </c>
      <c r="M92" s="586"/>
      <c r="O92" s="587">
        <f t="shared" si="1"/>
        <v>9775.6299999998882</v>
      </c>
      <c r="V92" s="262"/>
      <c r="W92" s="255"/>
      <c r="AC92" s="262"/>
      <c r="AD92" s="588"/>
    </row>
    <row r="93" spans="1:30" ht="15" thickBot="1">
      <c r="A93" s="581" t="s">
        <v>2856</v>
      </c>
      <c r="B93" s="582" t="s">
        <v>93</v>
      </c>
      <c r="C93" s="583" t="s">
        <v>2723</v>
      </c>
      <c r="D93" s="583" t="s">
        <v>84</v>
      </c>
      <c r="E93" s="582" t="s">
        <v>33</v>
      </c>
      <c r="F93" s="584">
        <v>44568</v>
      </c>
      <c r="G93" s="584">
        <v>44602</v>
      </c>
      <c r="H93" s="584">
        <v>44628</v>
      </c>
      <c r="I93" s="585">
        <v>1510000</v>
      </c>
      <c r="J93" s="585"/>
      <c r="K93" s="585"/>
      <c r="L93" s="585"/>
      <c r="M93" s="586"/>
      <c r="O93" s="587">
        <f t="shared" si="1"/>
        <v>0</v>
      </c>
      <c r="V93" s="262"/>
      <c r="W93" s="255"/>
      <c r="AC93" s="262"/>
      <c r="AD93" s="588"/>
    </row>
    <row r="94" spans="1:30" ht="15" thickBot="1">
      <c r="A94" s="581" t="s">
        <v>2857</v>
      </c>
      <c r="B94" s="582" t="s">
        <v>93</v>
      </c>
      <c r="C94" s="583" t="s">
        <v>2723</v>
      </c>
      <c r="D94" s="583" t="s">
        <v>84</v>
      </c>
      <c r="E94" s="582" t="s">
        <v>33</v>
      </c>
      <c r="F94" s="584">
        <v>44568</v>
      </c>
      <c r="G94" s="584">
        <v>44602</v>
      </c>
      <c r="H94" s="584">
        <v>44628</v>
      </c>
      <c r="I94" s="585">
        <v>205000</v>
      </c>
      <c r="J94" s="585"/>
      <c r="K94" s="585"/>
      <c r="L94" s="585"/>
      <c r="M94" s="586"/>
      <c r="O94" s="587">
        <f t="shared" si="1"/>
        <v>0</v>
      </c>
      <c r="V94" s="262"/>
      <c r="W94" s="255"/>
      <c r="AC94" s="262"/>
      <c r="AD94" s="588"/>
    </row>
    <row r="95" spans="1:30" ht="15" thickBot="1">
      <c r="A95" s="581" t="s">
        <v>2858</v>
      </c>
      <c r="B95" s="582" t="s">
        <v>174</v>
      </c>
      <c r="C95" s="583" t="s">
        <v>2723</v>
      </c>
      <c r="D95" s="583" t="s">
        <v>84</v>
      </c>
      <c r="E95" s="582" t="s">
        <v>33</v>
      </c>
      <c r="F95" s="584">
        <v>44568</v>
      </c>
      <c r="G95" s="584">
        <v>44602</v>
      </c>
      <c r="H95" s="584">
        <v>44628</v>
      </c>
      <c r="I95" s="585">
        <v>154796.68</v>
      </c>
      <c r="J95" s="585"/>
      <c r="K95" s="585"/>
      <c r="L95" s="585"/>
      <c r="M95" s="586"/>
      <c r="O95" s="587">
        <f t="shared" si="1"/>
        <v>0</v>
      </c>
      <c r="V95" s="262"/>
      <c r="W95" s="255"/>
      <c r="AC95" s="262"/>
      <c r="AD95" s="588"/>
    </row>
    <row r="96" spans="1:30" ht="15" thickBot="1">
      <c r="A96" s="581" t="s">
        <v>2859</v>
      </c>
      <c r="B96" s="582" t="s">
        <v>23</v>
      </c>
      <c r="C96" s="583" t="s">
        <v>2723</v>
      </c>
      <c r="D96" s="583" t="s">
        <v>84</v>
      </c>
      <c r="E96" s="582" t="s">
        <v>33</v>
      </c>
      <c r="F96" s="584">
        <v>44568</v>
      </c>
      <c r="G96" s="584">
        <v>44602</v>
      </c>
      <c r="H96" s="584">
        <v>44628</v>
      </c>
      <c r="I96" s="585">
        <v>48753.34</v>
      </c>
      <c r="J96" s="585">
        <f>SUM(I93:I96)</f>
        <v>1918550.02</v>
      </c>
      <c r="K96" s="585">
        <v>721704</v>
      </c>
      <c r="L96" s="585">
        <f>+J96-K96</f>
        <v>1196846.02</v>
      </c>
      <c r="M96" s="586"/>
      <c r="O96" s="587">
        <f t="shared" si="1"/>
        <v>1196846.02</v>
      </c>
      <c r="V96" s="262"/>
      <c r="W96" s="255"/>
      <c r="AC96" s="262"/>
      <c r="AD96" s="588"/>
    </row>
    <row r="97" spans="1:30" ht="15" thickBot="1">
      <c r="A97" s="581" t="s">
        <v>2860</v>
      </c>
      <c r="B97" s="582" t="s">
        <v>23</v>
      </c>
      <c r="C97" s="583" t="s">
        <v>2725</v>
      </c>
      <c r="D97" s="583" t="s">
        <v>59</v>
      </c>
      <c r="E97" s="582" t="s">
        <v>33</v>
      </c>
      <c r="F97" s="584">
        <v>44576</v>
      </c>
      <c r="G97" s="584">
        <v>44630</v>
      </c>
      <c r="H97" s="584">
        <v>44659</v>
      </c>
      <c r="I97" s="585">
        <v>104500</v>
      </c>
      <c r="J97" s="585"/>
      <c r="K97" s="585"/>
      <c r="L97" s="585"/>
      <c r="M97" s="586"/>
      <c r="O97" s="587">
        <f t="shared" si="1"/>
        <v>0</v>
      </c>
      <c r="V97" s="262"/>
      <c r="W97" s="255"/>
      <c r="AC97" s="262"/>
      <c r="AD97" s="588"/>
    </row>
    <row r="98" spans="1:30" ht="15" thickBot="1">
      <c r="A98" s="581" t="s">
        <v>2861</v>
      </c>
      <c r="B98" s="582" t="s">
        <v>36</v>
      </c>
      <c r="C98" s="583" t="s">
        <v>2725</v>
      </c>
      <c r="D98" s="583" t="s">
        <v>59</v>
      </c>
      <c r="E98" s="582" t="s">
        <v>33</v>
      </c>
      <c r="F98" s="584">
        <v>44576</v>
      </c>
      <c r="G98" s="584">
        <v>44655</v>
      </c>
      <c r="H98" s="584">
        <v>44659</v>
      </c>
      <c r="I98" s="585">
        <v>187480.88</v>
      </c>
      <c r="J98" s="585"/>
      <c r="K98" s="585"/>
      <c r="L98" s="585"/>
      <c r="M98" s="586"/>
      <c r="O98" s="587">
        <f t="shared" si="1"/>
        <v>0</v>
      </c>
      <c r="V98" s="262"/>
      <c r="W98" s="255"/>
      <c r="AC98" s="262"/>
      <c r="AD98" s="588"/>
    </row>
    <row r="99" spans="1:30" ht="15" thickBot="1">
      <c r="A99" s="581" t="s">
        <v>2862</v>
      </c>
      <c r="B99" s="582" t="s">
        <v>174</v>
      </c>
      <c r="C99" s="583" t="s">
        <v>2725</v>
      </c>
      <c r="D99" s="583" t="s">
        <v>59</v>
      </c>
      <c r="E99" s="582" t="s">
        <v>33</v>
      </c>
      <c r="F99" s="584">
        <v>44576</v>
      </c>
      <c r="G99" s="584">
        <v>44652</v>
      </c>
      <c r="H99" s="584">
        <v>44659</v>
      </c>
      <c r="I99" s="585">
        <v>500000</v>
      </c>
      <c r="J99" s="585">
        <f>SUM(I97:I99)</f>
        <v>791980.88</v>
      </c>
      <c r="K99" s="585">
        <v>721704</v>
      </c>
      <c r="L99" s="585">
        <f>+J99-K99</f>
        <v>70276.88</v>
      </c>
      <c r="M99" s="586"/>
      <c r="O99" s="587">
        <f t="shared" si="1"/>
        <v>70276.88</v>
      </c>
      <c r="V99" s="262"/>
      <c r="W99" s="255"/>
      <c r="AC99" s="262"/>
      <c r="AD99" s="588"/>
    </row>
    <row r="100" spans="1:30" ht="15" thickBot="1">
      <c r="A100" s="581" t="s">
        <v>2944</v>
      </c>
      <c r="B100" s="582" t="s">
        <v>174</v>
      </c>
      <c r="C100" s="583" t="s">
        <v>2946</v>
      </c>
      <c r="D100" s="583" t="s">
        <v>38</v>
      </c>
      <c r="E100" s="582" t="s">
        <v>33</v>
      </c>
      <c r="F100" s="584">
        <v>44728</v>
      </c>
      <c r="G100" s="584">
        <v>45068</v>
      </c>
      <c r="H100" s="584">
        <v>45075</v>
      </c>
      <c r="I100" s="585">
        <v>778168.89</v>
      </c>
      <c r="J100" s="585"/>
      <c r="K100" s="585"/>
      <c r="L100" s="585"/>
      <c r="M100" s="586"/>
      <c r="O100" s="587">
        <f t="shared" si="1"/>
        <v>0</v>
      </c>
      <c r="V100" s="262"/>
      <c r="W100" s="255"/>
      <c r="AC100" s="262"/>
      <c r="AD100" s="588"/>
    </row>
    <row r="101" spans="1:30" ht="15" thickBot="1">
      <c r="A101" s="581" t="s">
        <v>2945</v>
      </c>
      <c r="B101" s="582" t="s">
        <v>23</v>
      </c>
      <c r="C101" s="583" t="s">
        <v>2946</v>
      </c>
      <c r="D101" s="583" t="s">
        <v>38</v>
      </c>
      <c r="E101" s="582" t="s">
        <v>33</v>
      </c>
      <c r="F101" s="584">
        <v>44728</v>
      </c>
      <c r="G101" s="584">
        <v>45068</v>
      </c>
      <c r="H101" s="584">
        <v>45075</v>
      </c>
      <c r="I101" s="585">
        <v>61273.62</v>
      </c>
      <c r="J101" s="585">
        <f>+I101+I100</f>
        <v>839442.51</v>
      </c>
      <c r="K101" s="585">
        <v>721704</v>
      </c>
      <c r="L101" s="585">
        <f>+J101-K101</f>
        <v>117738.51000000001</v>
      </c>
      <c r="M101" s="586"/>
      <c r="O101" s="587">
        <f t="shared" si="1"/>
        <v>117738.51000000001</v>
      </c>
      <c r="V101" s="262"/>
      <c r="W101" s="255"/>
      <c r="AC101" s="262"/>
      <c r="AD101" s="588"/>
    </row>
    <row r="102" spans="1:30" ht="15" thickBot="1">
      <c r="A102" s="581" t="s">
        <v>2718</v>
      </c>
      <c r="B102" s="582" t="s">
        <v>1917</v>
      </c>
      <c r="C102" s="583" t="s">
        <v>2729</v>
      </c>
      <c r="D102" s="583" t="s">
        <v>69</v>
      </c>
      <c r="E102" s="582" t="s">
        <v>33</v>
      </c>
      <c r="F102" s="584">
        <v>44617</v>
      </c>
      <c r="G102" s="584">
        <v>44718</v>
      </c>
      <c r="H102" s="584">
        <v>44732</v>
      </c>
      <c r="I102" s="585">
        <v>7000</v>
      </c>
      <c r="J102" s="585"/>
      <c r="K102" s="585"/>
      <c r="L102" s="585"/>
      <c r="M102" s="586"/>
      <c r="O102" s="587">
        <f t="shared" si="1"/>
        <v>0</v>
      </c>
      <c r="V102" s="262"/>
      <c r="W102" s="255"/>
      <c r="AC102" s="262"/>
      <c r="AD102" s="588"/>
    </row>
    <row r="103" spans="1:30" ht="15" thickBot="1">
      <c r="A103" s="581" t="s">
        <v>2719</v>
      </c>
      <c r="B103" s="582" t="s">
        <v>174</v>
      </c>
      <c r="C103" s="583" t="s">
        <v>2729</v>
      </c>
      <c r="D103" s="583" t="s">
        <v>69</v>
      </c>
      <c r="E103" s="582" t="s">
        <v>33</v>
      </c>
      <c r="F103" s="584">
        <v>44617</v>
      </c>
      <c r="G103" s="584">
        <v>44718</v>
      </c>
      <c r="H103" s="584">
        <v>44732</v>
      </c>
      <c r="I103" s="585">
        <v>898887.31</v>
      </c>
      <c r="J103" s="585"/>
      <c r="K103" s="585"/>
      <c r="L103" s="585"/>
      <c r="M103" s="586"/>
      <c r="O103" s="587">
        <f t="shared" si="1"/>
        <v>0</v>
      </c>
      <c r="V103" s="262"/>
      <c r="W103" s="255"/>
      <c r="AC103" s="262"/>
      <c r="AD103" s="588"/>
    </row>
    <row r="104" spans="1:30" ht="15" thickBot="1">
      <c r="A104" s="581" t="s">
        <v>2720</v>
      </c>
      <c r="B104" s="582" t="s">
        <v>23</v>
      </c>
      <c r="C104" s="583" t="s">
        <v>2729</v>
      </c>
      <c r="D104" s="583" t="s">
        <v>69</v>
      </c>
      <c r="E104" s="582" t="s">
        <v>33</v>
      </c>
      <c r="F104" s="584">
        <v>44617</v>
      </c>
      <c r="G104" s="584">
        <v>44718</v>
      </c>
      <c r="H104" s="584">
        <v>44732</v>
      </c>
      <c r="I104" s="585">
        <v>44084.66</v>
      </c>
      <c r="J104" s="585">
        <f>SUM(I102:I104)</f>
        <v>949971.97000000009</v>
      </c>
      <c r="K104" s="585">
        <v>721704</v>
      </c>
      <c r="L104" s="585">
        <f>+J104-K104</f>
        <v>228267.97000000009</v>
      </c>
      <c r="M104" s="586"/>
      <c r="O104" s="587">
        <f t="shared" si="1"/>
        <v>228267.97000000009</v>
      </c>
      <c r="V104" s="262"/>
      <c r="W104" s="255"/>
      <c r="AC104" s="262"/>
      <c r="AD104" s="588"/>
    </row>
    <row r="105" spans="1:30" ht="15" thickBot="1">
      <c r="A105" s="581" t="s">
        <v>2947</v>
      </c>
      <c r="B105" s="582" t="s">
        <v>174</v>
      </c>
      <c r="C105" s="583" t="s">
        <v>2950</v>
      </c>
      <c r="D105" s="583" t="s">
        <v>2951</v>
      </c>
      <c r="E105" s="582" t="s">
        <v>33</v>
      </c>
      <c r="F105" s="584">
        <v>44869</v>
      </c>
      <c r="G105" s="584">
        <v>45054</v>
      </c>
      <c r="H105" s="584">
        <v>45092</v>
      </c>
      <c r="I105" s="585">
        <v>250000</v>
      </c>
      <c r="J105" s="585"/>
      <c r="K105" s="585"/>
      <c r="L105" s="585"/>
      <c r="M105" s="586"/>
      <c r="O105" s="587">
        <f t="shared" si="1"/>
        <v>0</v>
      </c>
      <c r="V105" s="262"/>
      <c r="W105" s="255"/>
      <c r="AC105" s="262"/>
      <c r="AD105" s="588"/>
    </row>
    <row r="106" spans="1:30" ht="15" thickBot="1">
      <c r="A106" s="581" t="s">
        <v>2948</v>
      </c>
      <c r="B106" s="582" t="s">
        <v>174</v>
      </c>
      <c r="C106" s="583" t="s">
        <v>2950</v>
      </c>
      <c r="D106" s="583" t="s">
        <v>2951</v>
      </c>
      <c r="E106" s="582" t="s">
        <v>33</v>
      </c>
      <c r="F106" s="584">
        <v>44869</v>
      </c>
      <c r="G106" s="584">
        <v>45054</v>
      </c>
      <c r="H106" s="584">
        <v>45092</v>
      </c>
      <c r="I106" s="585">
        <v>737469.83</v>
      </c>
      <c r="J106" s="585"/>
      <c r="K106" s="585"/>
      <c r="L106" s="585"/>
      <c r="M106" s="586"/>
      <c r="O106" s="587">
        <f t="shared" si="1"/>
        <v>0</v>
      </c>
      <c r="V106" s="262"/>
      <c r="W106" s="255"/>
      <c r="AC106" s="262"/>
      <c r="AD106" s="588"/>
    </row>
    <row r="107" spans="1:30" ht="15" thickBot="1">
      <c r="A107" s="581" t="s">
        <v>2949</v>
      </c>
      <c r="B107" s="582" t="s">
        <v>30</v>
      </c>
      <c r="C107" s="583" t="s">
        <v>2950</v>
      </c>
      <c r="D107" s="583" t="s">
        <v>2951</v>
      </c>
      <c r="E107" s="582" t="s">
        <v>33</v>
      </c>
      <c r="F107" s="584">
        <v>44869</v>
      </c>
      <c r="G107" s="584">
        <v>45054</v>
      </c>
      <c r="H107" s="584">
        <v>45083</v>
      </c>
      <c r="I107" s="585">
        <v>153000</v>
      </c>
      <c r="J107" s="585">
        <f>SUM(I105:I107)</f>
        <v>1140469.83</v>
      </c>
      <c r="K107" s="585">
        <v>721704</v>
      </c>
      <c r="L107" s="585">
        <f>+J107-K107</f>
        <v>418765.83000000007</v>
      </c>
      <c r="M107" s="586"/>
      <c r="O107" s="587">
        <f t="shared" si="1"/>
        <v>418765.83000000007</v>
      </c>
      <c r="V107" s="262"/>
      <c r="W107" s="255"/>
      <c r="AC107" s="262"/>
      <c r="AD107" s="588"/>
    </row>
    <row r="108" spans="1:30" ht="15" thickBot="1">
      <c r="A108" s="581" t="s">
        <v>2863</v>
      </c>
      <c r="B108" s="582" t="s">
        <v>30</v>
      </c>
      <c r="C108" s="583" t="s">
        <v>2709</v>
      </c>
      <c r="D108" s="583" t="s">
        <v>2637</v>
      </c>
      <c r="E108" s="582" t="s">
        <v>33</v>
      </c>
      <c r="F108" s="584">
        <v>44458</v>
      </c>
      <c r="G108" s="584">
        <v>44645</v>
      </c>
      <c r="H108" s="584">
        <v>44770</v>
      </c>
      <c r="I108" s="585">
        <v>21754.48</v>
      </c>
      <c r="J108" s="585"/>
      <c r="K108" s="585"/>
      <c r="L108" s="585"/>
      <c r="M108" s="586"/>
      <c r="O108" s="587">
        <f t="shared" si="1"/>
        <v>0</v>
      </c>
      <c r="V108" s="262"/>
      <c r="W108" s="255"/>
      <c r="AC108" s="262"/>
      <c r="AD108" s="588"/>
    </row>
    <row r="109" spans="1:30" ht="15" thickBot="1">
      <c r="A109" s="581" t="s">
        <v>2864</v>
      </c>
      <c r="B109" s="582" t="s">
        <v>174</v>
      </c>
      <c r="C109" s="583" t="s">
        <v>2709</v>
      </c>
      <c r="D109" s="583" t="s">
        <v>2637</v>
      </c>
      <c r="E109" s="582" t="s">
        <v>33</v>
      </c>
      <c r="F109" s="584">
        <v>44458</v>
      </c>
      <c r="G109" s="584">
        <v>44645</v>
      </c>
      <c r="H109" s="584">
        <v>44678</v>
      </c>
      <c r="I109" s="585">
        <f>938241.35+7000</f>
        <v>945241.35</v>
      </c>
      <c r="J109" s="585">
        <f>+I108+I109</f>
        <v>966995.83</v>
      </c>
      <c r="K109" s="585">
        <v>721704</v>
      </c>
      <c r="L109" s="585">
        <f>+J109-K109</f>
        <v>245291.82999999996</v>
      </c>
      <c r="M109" s="586"/>
      <c r="O109" s="587">
        <f t="shared" si="1"/>
        <v>245291.82999999996</v>
      </c>
      <c r="V109" s="262"/>
      <c r="W109" s="255"/>
      <c r="AC109" s="262"/>
      <c r="AD109" s="588"/>
    </row>
    <row r="110" spans="1:30" ht="15" thickBot="1">
      <c r="A110" s="581" t="s">
        <v>2865</v>
      </c>
      <c r="B110" s="582" t="s">
        <v>174</v>
      </c>
      <c r="C110" s="583" t="s">
        <v>2730</v>
      </c>
      <c r="D110" s="583" t="s">
        <v>2735</v>
      </c>
      <c r="E110" s="582" t="s">
        <v>33</v>
      </c>
      <c r="F110" s="584">
        <v>44649</v>
      </c>
      <c r="G110" s="584">
        <v>44713</v>
      </c>
      <c r="H110" s="584">
        <v>44736</v>
      </c>
      <c r="I110" s="585">
        <v>1490000</v>
      </c>
      <c r="J110" s="585"/>
      <c r="K110" s="585"/>
      <c r="L110" s="585"/>
      <c r="M110" s="586"/>
      <c r="O110" s="587">
        <f t="shared" si="1"/>
        <v>0</v>
      </c>
      <c r="V110" s="262"/>
      <c r="W110" s="255"/>
      <c r="AC110" s="262"/>
      <c r="AD110" s="588"/>
    </row>
    <row r="111" spans="1:30" ht="15" thickBot="1">
      <c r="A111" s="581" t="s">
        <v>2866</v>
      </c>
      <c r="B111" s="582" t="s">
        <v>23</v>
      </c>
      <c r="C111" s="583" t="s">
        <v>2730</v>
      </c>
      <c r="D111" s="583" t="s">
        <v>2735</v>
      </c>
      <c r="E111" s="582" t="s">
        <v>33</v>
      </c>
      <c r="F111" s="584">
        <v>44649</v>
      </c>
      <c r="G111" s="584">
        <v>44713</v>
      </c>
      <c r="H111" s="584">
        <v>44728</v>
      </c>
      <c r="I111" s="585">
        <v>55000</v>
      </c>
      <c r="J111" s="585">
        <f>SUM(I110:I111)</f>
        <v>1545000</v>
      </c>
      <c r="K111" s="585">
        <v>721704</v>
      </c>
      <c r="L111" s="585">
        <f>+J111-K111</f>
        <v>823296</v>
      </c>
      <c r="M111" s="586"/>
      <c r="O111" s="587">
        <f t="shared" si="1"/>
        <v>823296</v>
      </c>
      <c r="V111" s="262"/>
      <c r="W111" s="255"/>
      <c r="AC111" s="262"/>
      <c r="AD111" s="588"/>
    </row>
    <row r="112" spans="1:30" ht="15" thickBot="1">
      <c r="A112" s="581" t="s">
        <v>3063</v>
      </c>
      <c r="B112" s="582" t="s">
        <v>1917</v>
      </c>
      <c r="C112" s="583" t="s">
        <v>3064</v>
      </c>
      <c r="D112" s="583" t="s">
        <v>1594</v>
      </c>
      <c r="E112" s="582" t="s">
        <v>33</v>
      </c>
      <c r="F112" s="584">
        <v>44889</v>
      </c>
      <c r="G112" s="584">
        <v>44958</v>
      </c>
      <c r="H112" s="584">
        <v>45251</v>
      </c>
      <c r="I112" s="585">
        <v>50000</v>
      </c>
      <c r="J112" s="585"/>
      <c r="K112" s="585"/>
      <c r="L112" s="585"/>
      <c r="M112" s="586"/>
      <c r="O112" s="587">
        <f t="shared" si="1"/>
        <v>0</v>
      </c>
      <c r="V112" s="262"/>
      <c r="W112" s="255"/>
      <c r="AC112" s="262"/>
      <c r="AD112" s="588"/>
    </row>
    <row r="113" spans="1:30" ht="15" thickBot="1">
      <c r="A113" s="581" t="s">
        <v>3065</v>
      </c>
      <c r="B113" s="582" t="s">
        <v>23</v>
      </c>
      <c r="C113" s="583" t="s">
        <v>3064</v>
      </c>
      <c r="D113" s="583" t="s">
        <v>1594</v>
      </c>
      <c r="E113" s="582" t="s">
        <v>33</v>
      </c>
      <c r="F113" s="584">
        <v>44889</v>
      </c>
      <c r="G113" s="584">
        <v>44958</v>
      </c>
      <c r="H113" s="584">
        <v>44963</v>
      </c>
      <c r="I113" s="585">
        <v>81933.8</v>
      </c>
      <c r="J113" s="585"/>
      <c r="K113" s="585"/>
      <c r="L113" s="585"/>
      <c r="M113" s="586"/>
      <c r="O113" s="587">
        <f t="shared" si="1"/>
        <v>0</v>
      </c>
      <c r="V113" s="262"/>
      <c r="W113" s="255"/>
      <c r="AC113" s="262"/>
      <c r="AD113" s="588"/>
    </row>
    <row r="114" spans="1:30" ht="15" thickBot="1">
      <c r="A114" s="581" t="s">
        <v>3066</v>
      </c>
      <c r="B114" s="582" t="s">
        <v>23</v>
      </c>
      <c r="C114" s="583" t="s">
        <v>3064</v>
      </c>
      <c r="D114" s="583" t="s">
        <v>1594</v>
      </c>
      <c r="E114" s="582" t="s">
        <v>33</v>
      </c>
      <c r="F114" s="584">
        <v>44889</v>
      </c>
      <c r="G114" s="584">
        <v>45058</v>
      </c>
      <c r="H114" s="584">
        <v>45070</v>
      </c>
      <c r="I114" s="585">
        <v>48847.98</v>
      </c>
      <c r="J114" s="585"/>
      <c r="K114" s="585"/>
      <c r="L114" s="585"/>
      <c r="M114" s="586"/>
      <c r="O114" s="587">
        <f t="shared" si="1"/>
        <v>0</v>
      </c>
      <c r="V114" s="262"/>
      <c r="W114" s="255"/>
      <c r="AC114" s="262"/>
      <c r="AD114" s="588"/>
    </row>
    <row r="115" spans="1:30" ht="15" thickBot="1">
      <c r="A115" s="581" t="s">
        <v>3067</v>
      </c>
      <c r="B115" s="582" t="s">
        <v>174</v>
      </c>
      <c r="C115" s="583" t="s">
        <v>3064</v>
      </c>
      <c r="D115" s="583" t="s">
        <v>1594</v>
      </c>
      <c r="E115" s="582" t="s">
        <v>33</v>
      </c>
      <c r="F115" s="584">
        <v>44889</v>
      </c>
      <c r="G115" s="584">
        <v>45084</v>
      </c>
      <c r="H115" s="584">
        <v>45117</v>
      </c>
      <c r="I115" s="585">
        <v>587748.46</v>
      </c>
      <c r="J115" s="585">
        <f>SUM(I112:I115)</f>
        <v>768530.24</v>
      </c>
      <c r="K115" s="585">
        <v>721704</v>
      </c>
      <c r="L115" s="585">
        <f>+J115-K115</f>
        <v>46826.239999999991</v>
      </c>
      <c r="M115" s="586"/>
      <c r="O115" s="587">
        <f t="shared" si="1"/>
        <v>46826.239999999991</v>
      </c>
      <c r="V115" s="262"/>
      <c r="W115" s="255"/>
      <c r="AC115" s="262"/>
      <c r="AD115" s="588"/>
    </row>
    <row r="116" spans="1:30" ht="15" thickBot="1">
      <c r="A116" s="581" t="s">
        <v>2867</v>
      </c>
      <c r="B116" s="582" t="s">
        <v>174</v>
      </c>
      <c r="C116" s="583" t="s">
        <v>2731</v>
      </c>
      <c r="D116" s="583" t="s">
        <v>459</v>
      </c>
      <c r="E116" s="582" t="s">
        <v>33</v>
      </c>
      <c r="F116" s="584">
        <v>44654</v>
      </c>
      <c r="G116" s="584">
        <v>44719</v>
      </c>
      <c r="H116" s="584">
        <v>44736</v>
      </c>
      <c r="I116" s="585">
        <v>895549.9</v>
      </c>
      <c r="J116" s="585"/>
      <c r="K116" s="585"/>
      <c r="L116" s="585"/>
      <c r="M116" s="586"/>
      <c r="O116" s="587">
        <f t="shared" si="1"/>
        <v>0</v>
      </c>
      <c r="V116" s="262"/>
      <c r="W116" s="255"/>
      <c r="AC116" s="262"/>
      <c r="AD116" s="588"/>
    </row>
    <row r="117" spans="1:30" ht="15" thickBot="1">
      <c r="A117" s="581" t="s">
        <v>2868</v>
      </c>
      <c r="B117" s="582" t="s">
        <v>23</v>
      </c>
      <c r="C117" s="583" t="s">
        <v>2731</v>
      </c>
      <c r="D117" s="583" t="s">
        <v>459</v>
      </c>
      <c r="E117" s="582" t="s">
        <v>33</v>
      </c>
      <c r="F117" s="584">
        <v>44654</v>
      </c>
      <c r="G117" s="584">
        <v>44721</v>
      </c>
      <c r="H117" s="584">
        <v>44735</v>
      </c>
      <c r="I117" s="585">
        <v>57500</v>
      </c>
      <c r="J117" s="585">
        <f>SUM(I116:I117)</f>
        <v>953049.9</v>
      </c>
      <c r="K117" s="585">
        <v>721704</v>
      </c>
      <c r="L117" s="585">
        <f>+J117-K117</f>
        <v>231345.90000000002</v>
      </c>
      <c r="M117" s="586"/>
      <c r="O117" s="587">
        <f t="shared" si="1"/>
        <v>231345.90000000002</v>
      </c>
      <c r="V117" s="262"/>
      <c r="W117" s="255"/>
      <c r="AC117" s="262"/>
      <c r="AD117" s="588"/>
    </row>
    <row r="118" spans="1:30" ht="15" thickBot="1">
      <c r="A118" s="581" t="s">
        <v>2869</v>
      </c>
      <c r="B118" s="582" t="s">
        <v>174</v>
      </c>
      <c r="C118" s="583" t="s">
        <v>2920</v>
      </c>
      <c r="D118" s="583" t="s">
        <v>2921</v>
      </c>
      <c r="E118" s="582" t="s">
        <v>33</v>
      </c>
      <c r="F118" s="584">
        <v>44739</v>
      </c>
      <c r="G118" s="584">
        <v>44776</v>
      </c>
      <c r="H118" s="584">
        <v>44882</v>
      </c>
      <c r="I118" s="585">
        <v>205000</v>
      </c>
      <c r="J118" s="585"/>
      <c r="K118" s="585"/>
      <c r="L118" s="585"/>
      <c r="M118" s="586"/>
      <c r="O118" s="587">
        <f t="shared" si="1"/>
        <v>0</v>
      </c>
      <c r="V118" s="262"/>
      <c r="W118" s="255"/>
      <c r="AC118" s="262"/>
      <c r="AD118" s="588"/>
    </row>
    <row r="119" spans="1:30" ht="15" thickBot="1">
      <c r="A119" s="581" t="s">
        <v>2870</v>
      </c>
      <c r="B119" s="582" t="s">
        <v>174</v>
      </c>
      <c r="C119" s="583" t="s">
        <v>2920</v>
      </c>
      <c r="D119" s="583" t="s">
        <v>2921</v>
      </c>
      <c r="E119" s="582" t="s">
        <v>33</v>
      </c>
      <c r="F119" s="584">
        <v>44739</v>
      </c>
      <c r="G119" s="584">
        <v>44831</v>
      </c>
      <c r="H119" s="584">
        <v>44887</v>
      </c>
      <c r="I119" s="585">
        <v>403000</v>
      </c>
      <c r="J119" s="585"/>
      <c r="K119" s="585"/>
      <c r="L119" s="585"/>
      <c r="M119" s="586"/>
      <c r="O119" s="587">
        <f t="shared" si="1"/>
        <v>0</v>
      </c>
      <c r="V119" s="262"/>
      <c r="W119" s="255"/>
      <c r="AC119" s="262"/>
      <c r="AD119" s="588"/>
    </row>
    <row r="120" spans="1:30" ht="15" thickBot="1">
      <c r="A120" s="581" t="s">
        <v>2871</v>
      </c>
      <c r="B120" s="582" t="s">
        <v>23</v>
      </c>
      <c r="C120" s="583" t="s">
        <v>2920</v>
      </c>
      <c r="D120" s="583" t="s">
        <v>2921</v>
      </c>
      <c r="E120" s="582" t="s">
        <v>33</v>
      </c>
      <c r="F120" s="584">
        <v>44739</v>
      </c>
      <c r="G120" s="584">
        <v>44831</v>
      </c>
      <c r="H120" s="584">
        <v>44854</v>
      </c>
      <c r="I120" s="585">
        <v>160500</v>
      </c>
      <c r="J120" s="585">
        <f>SUM(I118:I120)</f>
        <v>768500</v>
      </c>
      <c r="K120" s="585">
        <v>721704</v>
      </c>
      <c r="L120" s="585">
        <f>+J120-K120</f>
        <v>46796</v>
      </c>
      <c r="M120" s="586"/>
      <c r="O120" s="587">
        <f t="shared" si="1"/>
        <v>46796</v>
      </c>
      <c r="V120" s="262"/>
      <c r="W120" s="255"/>
      <c r="AC120" s="262"/>
      <c r="AD120" s="588"/>
    </row>
    <row r="121" spans="1:30" ht="15" thickBot="1">
      <c r="A121" s="581" t="s">
        <v>2872</v>
      </c>
      <c r="B121" s="582" t="s">
        <v>174</v>
      </c>
      <c r="C121" s="583" t="s">
        <v>2922</v>
      </c>
      <c r="D121" s="583" t="s">
        <v>2923</v>
      </c>
      <c r="E121" s="582" t="s">
        <v>33</v>
      </c>
      <c r="F121" s="584">
        <v>44854</v>
      </c>
      <c r="G121" s="584">
        <v>44889</v>
      </c>
      <c r="H121" s="584">
        <v>44923</v>
      </c>
      <c r="I121" s="585">
        <v>100000</v>
      </c>
      <c r="J121" s="585"/>
      <c r="K121" s="585"/>
      <c r="L121" s="585"/>
      <c r="M121" s="586"/>
      <c r="O121" s="587">
        <f t="shared" si="1"/>
        <v>0</v>
      </c>
      <c r="V121" s="262"/>
      <c r="W121" s="255"/>
      <c r="AC121" s="262"/>
      <c r="AD121" s="588"/>
    </row>
    <row r="122" spans="1:30" ht="15" thickBot="1">
      <c r="A122" s="581" t="s">
        <v>2873</v>
      </c>
      <c r="B122" s="582" t="s">
        <v>174</v>
      </c>
      <c r="C122" s="583" t="s">
        <v>2922</v>
      </c>
      <c r="D122" s="583" t="s">
        <v>2923</v>
      </c>
      <c r="E122" s="582" t="s">
        <v>33</v>
      </c>
      <c r="F122" s="584">
        <v>44854</v>
      </c>
      <c r="G122" s="584">
        <v>44889</v>
      </c>
      <c r="H122" s="584">
        <v>44923</v>
      </c>
      <c r="I122" s="585">
        <v>730806.44</v>
      </c>
      <c r="J122" s="585">
        <f>SUM(I121:I122)</f>
        <v>830806.44</v>
      </c>
      <c r="K122" s="585">
        <v>721704</v>
      </c>
      <c r="L122" s="585">
        <f>+J122-K122</f>
        <v>109102.43999999994</v>
      </c>
      <c r="M122" s="586"/>
      <c r="O122" s="587">
        <f t="shared" si="1"/>
        <v>109102.43999999994</v>
      </c>
      <c r="V122" s="262"/>
      <c r="W122" s="255"/>
      <c r="AC122" s="262"/>
      <c r="AD122" s="588"/>
    </row>
    <row r="123" spans="1:30" ht="15" thickBot="1">
      <c r="A123" s="581" t="s">
        <v>2634</v>
      </c>
      <c r="B123" s="582" t="s">
        <v>174</v>
      </c>
      <c r="C123" s="583" t="s">
        <v>2636</v>
      </c>
      <c r="D123" s="583" t="s">
        <v>2637</v>
      </c>
      <c r="E123" s="582" t="s">
        <v>33</v>
      </c>
      <c r="F123" s="584">
        <v>44466</v>
      </c>
      <c r="G123" s="584">
        <v>44515</v>
      </c>
      <c r="H123" s="584">
        <v>44560</v>
      </c>
      <c r="I123" s="585">
        <v>760000</v>
      </c>
      <c r="J123" s="585"/>
      <c r="K123" s="585"/>
      <c r="L123" s="585"/>
      <c r="M123" s="586"/>
      <c r="O123" s="587">
        <f t="shared" si="1"/>
        <v>0</v>
      </c>
      <c r="V123" s="262"/>
      <c r="W123" s="255"/>
      <c r="AC123" s="262"/>
      <c r="AD123" s="588"/>
    </row>
    <row r="124" spans="1:30" ht="15" thickBot="1">
      <c r="A124" s="581" t="s">
        <v>2635</v>
      </c>
      <c r="B124" s="582" t="s">
        <v>23</v>
      </c>
      <c r="C124" s="583" t="s">
        <v>2636</v>
      </c>
      <c r="D124" s="583" t="s">
        <v>2637</v>
      </c>
      <c r="E124" s="582" t="s">
        <v>33</v>
      </c>
      <c r="F124" s="584">
        <v>44466</v>
      </c>
      <c r="G124" s="584">
        <v>44515</v>
      </c>
      <c r="H124" s="584">
        <v>44558</v>
      </c>
      <c r="I124" s="585">
        <v>85500</v>
      </c>
      <c r="J124" s="585"/>
      <c r="K124" s="585"/>
      <c r="L124" s="585"/>
      <c r="M124" s="586"/>
      <c r="O124" s="587">
        <f t="shared" si="1"/>
        <v>0</v>
      </c>
      <c r="V124" s="262"/>
      <c r="W124" s="255"/>
      <c r="AC124" s="262"/>
      <c r="AD124" s="588"/>
    </row>
    <row r="125" spans="1:30" ht="15" thickBot="1">
      <c r="A125" s="581" t="s">
        <v>2874</v>
      </c>
      <c r="B125" s="582" t="s">
        <v>174</v>
      </c>
      <c r="C125" s="583" t="s">
        <v>2636</v>
      </c>
      <c r="D125" s="583" t="s">
        <v>2637</v>
      </c>
      <c r="E125" s="582" t="s">
        <v>33</v>
      </c>
      <c r="F125" s="584">
        <v>44466</v>
      </c>
      <c r="G125" s="584">
        <v>44869</v>
      </c>
      <c r="H125" s="584">
        <v>44882</v>
      </c>
      <c r="I125" s="585">
        <v>155000</v>
      </c>
      <c r="J125" s="585">
        <f>SUM(I123:I125)</f>
        <v>1000500</v>
      </c>
      <c r="K125" s="585">
        <v>721704</v>
      </c>
      <c r="L125" s="585">
        <f>+J125-K125</f>
        <v>278796</v>
      </c>
      <c r="M125" s="586"/>
      <c r="O125" s="587">
        <f t="shared" si="1"/>
        <v>278796</v>
      </c>
      <c r="V125" s="262"/>
      <c r="W125" s="255"/>
      <c r="AC125" s="262"/>
      <c r="AD125" s="588"/>
    </row>
    <row r="126" spans="1:30" ht="15" thickBot="1">
      <c r="A126" s="581" t="s">
        <v>2875</v>
      </c>
      <c r="B126" s="582" t="s">
        <v>30</v>
      </c>
      <c r="C126" s="583" t="s">
        <v>2726</v>
      </c>
      <c r="D126" s="583" t="s">
        <v>2734</v>
      </c>
      <c r="E126" s="582" t="s">
        <v>33</v>
      </c>
      <c r="F126" s="584">
        <v>44581</v>
      </c>
      <c r="G126" s="584">
        <v>44645</v>
      </c>
      <c r="H126" s="584">
        <v>44676</v>
      </c>
      <c r="I126" s="585">
        <v>57500</v>
      </c>
      <c r="J126" s="585"/>
      <c r="K126" s="585"/>
      <c r="L126" s="585"/>
      <c r="M126" s="586"/>
      <c r="O126" s="587">
        <f t="shared" si="1"/>
        <v>0</v>
      </c>
      <c r="V126" s="262"/>
      <c r="W126" s="255"/>
      <c r="AC126" s="262"/>
      <c r="AD126" s="588"/>
    </row>
    <row r="127" spans="1:30" ht="15" thickBot="1">
      <c r="A127" s="581" t="s">
        <v>2876</v>
      </c>
      <c r="B127" s="582" t="s">
        <v>174</v>
      </c>
      <c r="C127" s="583" t="s">
        <v>2726</v>
      </c>
      <c r="D127" s="583" t="s">
        <v>2734</v>
      </c>
      <c r="E127" s="582" t="s">
        <v>33</v>
      </c>
      <c r="F127" s="584">
        <v>44581</v>
      </c>
      <c r="G127" s="584">
        <v>44645</v>
      </c>
      <c r="H127" s="584">
        <v>44676</v>
      </c>
      <c r="I127" s="585">
        <v>777812.43</v>
      </c>
      <c r="J127" s="585">
        <f>SUM(I126:I127)</f>
        <v>835312.43</v>
      </c>
      <c r="K127" s="585">
        <v>721704</v>
      </c>
      <c r="L127" s="585">
        <f>+J127-K127</f>
        <v>113608.43000000005</v>
      </c>
      <c r="M127" s="586"/>
      <c r="O127" s="587">
        <f t="shared" si="1"/>
        <v>113608.43000000005</v>
      </c>
      <c r="V127" s="262"/>
      <c r="W127" s="255"/>
      <c r="AC127" s="262"/>
      <c r="AD127" s="588"/>
    </row>
    <row r="128" spans="1:30" ht="15" thickBot="1">
      <c r="A128" s="581" t="s">
        <v>2877</v>
      </c>
      <c r="B128" s="582" t="s">
        <v>174</v>
      </c>
      <c r="C128" s="583" t="s">
        <v>2680</v>
      </c>
      <c r="D128" s="583" t="s">
        <v>26</v>
      </c>
      <c r="E128" s="582" t="s">
        <v>33</v>
      </c>
      <c r="F128" s="584">
        <v>44578</v>
      </c>
      <c r="G128" s="584">
        <v>44683</v>
      </c>
      <c r="H128" s="584">
        <v>44706</v>
      </c>
      <c r="I128" s="585">
        <v>441199.71</v>
      </c>
      <c r="J128" s="585"/>
      <c r="K128" s="585"/>
      <c r="L128" s="585"/>
      <c r="M128" s="586"/>
      <c r="O128" s="587">
        <f t="shared" si="1"/>
        <v>0</v>
      </c>
      <c r="V128" s="262"/>
      <c r="W128" s="255"/>
      <c r="AC128" s="262"/>
      <c r="AD128" s="588"/>
    </row>
    <row r="129" spans="1:30" ht="15" thickBot="1">
      <c r="A129" s="581" t="s">
        <v>2878</v>
      </c>
      <c r="B129" s="582" t="s">
        <v>1917</v>
      </c>
      <c r="C129" s="583" t="s">
        <v>2680</v>
      </c>
      <c r="D129" s="583" t="s">
        <v>25</v>
      </c>
      <c r="E129" s="582" t="s">
        <v>26</v>
      </c>
      <c r="F129" s="584">
        <v>44578</v>
      </c>
      <c r="G129" s="584">
        <v>44719</v>
      </c>
      <c r="H129" s="584">
        <v>44734</v>
      </c>
      <c r="I129" s="585">
        <v>50000</v>
      </c>
      <c r="J129" s="585"/>
      <c r="K129" s="585"/>
      <c r="L129" s="585"/>
      <c r="M129" s="586"/>
      <c r="O129" s="587">
        <f t="shared" si="1"/>
        <v>0</v>
      </c>
      <c r="V129" s="262"/>
      <c r="W129" s="255"/>
      <c r="AC129" s="262"/>
      <c r="AD129" s="588"/>
    </row>
    <row r="130" spans="1:30" ht="15" thickBot="1">
      <c r="A130" s="581" t="s">
        <v>2879</v>
      </c>
      <c r="B130" s="582" t="s">
        <v>174</v>
      </c>
      <c r="C130" s="583" t="s">
        <v>2680</v>
      </c>
      <c r="D130" s="583" t="s">
        <v>25</v>
      </c>
      <c r="E130" s="582" t="s">
        <v>26</v>
      </c>
      <c r="F130" s="584">
        <v>44578</v>
      </c>
      <c r="G130" s="584">
        <v>44719</v>
      </c>
      <c r="H130" s="584">
        <v>44736</v>
      </c>
      <c r="I130" s="585">
        <v>95000</v>
      </c>
      <c r="J130" s="585"/>
      <c r="K130" s="585"/>
      <c r="L130" s="585"/>
      <c r="M130" s="586"/>
      <c r="O130" s="587">
        <f t="shared" si="1"/>
        <v>0</v>
      </c>
      <c r="V130" s="262"/>
      <c r="W130" s="255"/>
      <c r="AC130" s="262"/>
      <c r="AD130" s="588"/>
    </row>
    <row r="131" spans="1:30" ht="15" thickBot="1">
      <c r="A131" s="581" t="s">
        <v>2880</v>
      </c>
      <c r="B131" s="582" t="s">
        <v>23</v>
      </c>
      <c r="C131" s="583" t="s">
        <v>2680</v>
      </c>
      <c r="D131" s="583" t="s">
        <v>25</v>
      </c>
      <c r="E131" s="582" t="s">
        <v>26</v>
      </c>
      <c r="F131" s="584">
        <v>44578</v>
      </c>
      <c r="G131" s="584">
        <v>44719</v>
      </c>
      <c r="H131" s="584">
        <v>44736</v>
      </c>
      <c r="I131" s="585">
        <v>45629.96</v>
      </c>
      <c r="J131" s="585"/>
      <c r="K131" s="585"/>
      <c r="L131" s="585"/>
      <c r="M131" s="586"/>
      <c r="O131" s="587">
        <f t="shared" si="1"/>
        <v>0</v>
      </c>
      <c r="V131" s="262"/>
      <c r="W131" s="255"/>
      <c r="AC131" s="262"/>
      <c r="AD131" s="588"/>
    </row>
    <row r="132" spans="1:30" ht="15" thickBot="1">
      <c r="A132" s="581" t="s">
        <v>2881</v>
      </c>
      <c r="B132" s="582" t="s">
        <v>245</v>
      </c>
      <c r="C132" s="583" t="s">
        <v>2680</v>
      </c>
      <c r="D132" s="583" t="s">
        <v>25</v>
      </c>
      <c r="E132" s="582" t="s">
        <v>26</v>
      </c>
      <c r="F132" s="584">
        <v>44578</v>
      </c>
      <c r="G132" s="584">
        <v>44743</v>
      </c>
      <c r="H132" s="584">
        <v>44770</v>
      </c>
      <c r="I132" s="585">
        <v>40000</v>
      </c>
      <c r="J132" s="585"/>
      <c r="K132" s="585"/>
      <c r="L132" s="585"/>
      <c r="M132" s="586"/>
      <c r="O132" s="587">
        <f t="shared" si="1"/>
        <v>0</v>
      </c>
      <c r="V132" s="262"/>
      <c r="W132" s="255"/>
      <c r="AC132" s="262"/>
      <c r="AD132" s="588"/>
    </row>
    <row r="133" spans="1:30" ht="15" thickBot="1">
      <c r="A133" s="581" t="s">
        <v>2882</v>
      </c>
      <c r="B133" s="582" t="s">
        <v>1917</v>
      </c>
      <c r="C133" s="583" t="s">
        <v>2680</v>
      </c>
      <c r="D133" s="583" t="s">
        <v>25</v>
      </c>
      <c r="E133" s="582" t="s">
        <v>26</v>
      </c>
      <c r="F133" s="584">
        <v>44578</v>
      </c>
      <c r="G133" s="584">
        <v>44743</v>
      </c>
      <c r="H133" s="584">
        <v>44770</v>
      </c>
      <c r="I133" s="585">
        <v>50000</v>
      </c>
      <c r="J133" s="585"/>
      <c r="K133" s="585"/>
      <c r="L133" s="585"/>
      <c r="M133" s="586"/>
      <c r="O133" s="587">
        <f t="shared" si="1"/>
        <v>0</v>
      </c>
      <c r="V133" s="262"/>
      <c r="W133" s="255"/>
      <c r="AC133" s="262"/>
      <c r="AD133" s="588"/>
    </row>
    <row r="134" spans="1:30" ht="15" thickBot="1">
      <c r="A134" s="581" t="s">
        <v>2883</v>
      </c>
      <c r="B134" s="582" t="s">
        <v>174</v>
      </c>
      <c r="C134" s="583" t="s">
        <v>2680</v>
      </c>
      <c r="D134" s="583" t="s">
        <v>25</v>
      </c>
      <c r="E134" s="582" t="s">
        <v>26</v>
      </c>
      <c r="F134" s="584">
        <v>44578</v>
      </c>
      <c r="G134" s="584">
        <v>44743</v>
      </c>
      <c r="H134" s="584">
        <v>44770</v>
      </c>
      <c r="I134" s="585">
        <v>100000</v>
      </c>
      <c r="J134" s="585"/>
      <c r="K134" s="585"/>
      <c r="L134" s="585"/>
      <c r="M134" s="586"/>
      <c r="O134" s="587">
        <f t="shared" si="1"/>
        <v>0</v>
      </c>
      <c r="V134" s="262"/>
      <c r="W134" s="255"/>
      <c r="AC134" s="262"/>
      <c r="AD134" s="588"/>
    </row>
    <row r="135" spans="1:30" ht="15" thickBot="1">
      <c r="A135" s="581" t="s">
        <v>2884</v>
      </c>
      <c r="B135" s="582" t="s">
        <v>23</v>
      </c>
      <c r="C135" s="583" t="s">
        <v>2680</v>
      </c>
      <c r="D135" s="583" t="s">
        <v>25</v>
      </c>
      <c r="E135" s="582" t="s">
        <v>26</v>
      </c>
      <c r="F135" s="584">
        <v>44578</v>
      </c>
      <c r="G135" s="584">
        <v>44743</v>
      </c>
      <c r="H135" s="584">
        <v>44770</v>
      </c>
      <c r="I135" s="585">
        <v>41576.94</v>
      </c>
      <c r="J135" s="585">
        <f>SUM(I128:I135)</f>
        <v>863406.60999999987</v>
      </c>
      <c r="K135" s="585">
        <v>721704</v>
      </c>
      <c r="L135" s="585">
        <f>+J135-K135</f>
        <v>141702.60999999987</v>
      </c>
      <c r="M135" s="586"/>
      <c r="O135" s="587">
        <f t="shared" si="1"/>
        <v>141702.60999999987</v>
      </c>
      <c r="V135" s="262"/>
      <c r="W135" s="255"/>
      <c r="AC135" s="262"/>
      <c r="AD135" s="588"/>
    </row>
    <row r="136" spans="1:30" ht="15" thickBot="1">
      <c r="A136" s="581" t="s">
        <v>2885</v>
      </c>
      <c r="B136" s="582" t="s">
        <v>174</v>
      </c>
      <c r="C136" s="583" t="s">
        <v>2696</v>
      </c>
      <c r="D136" s="583" t="s">
        <v>38</v>
      </c>
      <c r="E136" s="582" t="s">
        <v>33</v>
      </c>
      <c r="F136" s="584">
        <v>44450</v>
      </c>
      <c r="G136" s="584">
        <v>44571</v>
      </c>
      <c r="H136" s="584">
        <v>44602</v>
      </c>
      <c r="I136" s="585">
        <v>938018.02</v>
      </c>
      <c r="J136" s="585"/>
      <c r="K136" s="585"/>
      <c r="L136" s="585"/>
      <c r="M136" s="586"/>
      <c r="O136" s="587">
        <f t="shared" si="1"/>
        <v>0</v>
      </c>
      <c r="V136" s="262"/>
      <c r="W136" s="255"/>
      <c r="AC136" s="262"/>
      <c r="AD136" s="588"/>
    </row>
    <row r="137" spans="1:30" ht="15" thickBot="1">
      <c r="A137" s="581" t="s">
        <v>2886</v>
      </c>
      <c r="B137" s="582" t="s">
        <v>23</v>
      </c>
      <c r="C137" s="583" t="s">
        <v>2696</v>
      </c>
      <c r="D137" s="583" t="s">
        <v>38</v>
      </c>
      <c r="E137" s="582" t="s">
        <v>33</v>
      </c>
      <c r="F137" s="584">
        <v>44450</v>
      </c>
      <c r="G137" s="584">
        <v>44571</v>
      </c>
      <c r="H137" s="584">
        <v>44602</v>
      </c>
      <c r="I137" s="585">
        <v>177979.65</v>
      </c>
      <c r="J137" s="585">
        <f>SUM(I136:I137)</f>
        <v>1115997.67</v>
      </c>
      <c r="K137" s="585">
        <v>721704</v>
      </c>
      <c r="L137" s="585">
        <f>+J137-K137</f>
        <v>394293.66999999993</v>
      </c>
      <c r="M137" s="586"/>
      <c r="O137" s="587">
        <f t="shared" si="1"/>
        <v>394293.66999999993</v>
      </c>
      <c r="V137" s="262"/>
      <c r="W137" s="255"/>
      <c r="AC137" s="262"/>
      <c r="AD137" s="588"/>
    </row>
    <row r="138" spans="1:30" ht="15" thickBot="1">
      <c r="A138" s="581" t="s">
        <v>2887</v>
      </c>
      <c r="B138" s="582" t="s">
        <v>93</v>
      </c>
      <c r="C138" s="583" t="s">
        <v>2924</v>
      </c>
      <c r="D138" s="583" t="s">
        <v>2916</v>
      </c>
      <c r="E138" s="582" t="s">
        <v>33</v>
      </c>
      <c r="F138" s="584">
        <v>44811</v>
      </c>
      <c r="G138" s="584">
        <v>44880</v>
      </c>
      <c r="H138" s="584">
        <v>44894</v>
      </c>
      <c r="I138" s="585">
        <v>305000</v>
      </c>
      <c r="J138" s="585"/>
      <c r="K138" s="585"/>
      <c r="L138" s="585"/>
      <c r="M138" s="586"/>
      <c r="O138" s="587">
        <f t="shared" si="1"/>
        <v>0</v>
      </c>
      <c r="V138" s="262"/>
      <c r="W138" s="255"/>
      <c r="AC138" s="262"/>
      <c r="AD138" s="588"/>
    </row>
    <row r="139" spans="1:30" ht="15" thickBot="1">
      <c r="A139" s="581" t="s">
        <v>2888</v>
      </c>
      <c r="B139" s="582" t="s">
        <v>174</v>
      </c>
      <c r="C139" s="583" t="s">
        <v>2924</v>
      </c>
      <c r="D139" s="583" t="s">
        <v>2916</v>
      </c>
      <c r="E139" s="582" t="s">
        <v>33</v>
      </c>
      <c r="F139" s="584">
        <v>44811</v>
      </c>
      <c r="G139" s="584">
        <v>44880</v>
      </c>
      <c r="H139" s="584">
        <v>44894</v>
      </c>
      <c r="I139" s="585">
        <v>794040.66</v>
      </c>
      <c r="J139" s="585"/>
      <c r="K139" s="585"/>
      <c r="L139" s="585"/>
      <c r="M139" s="586"/>
      <c r="O139" s="587">
        <f t="shared" ref="O139:O173" si="2">IF($J139&gt;P$8,$J139-P$8,0)</f>
        <v>0</v>
      </c>
      <c r="V139" s="262"/>
      <c r="W139" s="255"/>
      <c r="AC139" s="262"/>
      <c r="AD139" s="588"/>
    </row>
    <row r="140" spans="1:30" ht="15" thickBot="1">
      <c r="A140" s="581" t="s">
        <v>2889</v>
      </c>
      <c r="B140" s="582" t="s">
        <v>23</v>
      </c>
      <c r="C140" s="583" t="s">
        <v>2924</v>
      </c>
      <c r="D140" s="583" t="s">
        <v>2916</v>
      </c>
      <c r="E140" s="582" t="s">
        <v>33</v>
      </c>
      <c r="F140" s="584">
        <v>44811</v>
      </c>
      <c r="G140" s="584">
        <v>44880</v>
      </c>
      <c r="H140" s="584">
        <v>44894</v>
      </c>
      <c r="I140" s="585">
        <v>55000</v>
      </c>
      <c r="J140" s="585">
        <f>SUM(I138:I140)</f>
        <v>1154040.6600000001</v>
      </c>
      <c r="K140" s="585">
        <v>721704</v>
      </c>
      <c r="L140" s="585">
        <f>+J140-K140</f>
        <v>432336.66000000015</v>
      </c>
      <c r="M140" s="586"/>
      <c r="O140" s="587">
        <f t="shared" si="2"/>
        <v>432336.66000000015</v>
      </c>
      <c r="V140" s="262"/>
      <c r="W140" s="255"/>
      <c r="AC140" s="262"/>
      <c r="AD140" s="588"/>
    </row>
    <row r="141" spans="1:30" ht="15" thickBot="1">
      <c r="A141" s="581" t="s">
        <v>2890</v>
      </c>
      <c r="B141" s="582" t="s">
        <v>93</v>
      </c>
      <c r="C141" s="583" t="s">
        <v>2698</v>
      </c>
      <c r="D141" s="583" t="s">
        <v>2699</v>
      </c>
      <c r="E141" s="582" t="s">
        <v>33</v>
      </c>
      <c r="F141" s="584">
        <v>44505</v>
      </c>
      <c r="G141" s="584">
        <v>44537</v>
      </c>
      <c r="H141" s="584">
        <v>44615</v>
      </c>
      <c r="I141" s="585">
        <v>2020000</v>
      </c>
      <c r="J141" s="585">
        <f>+I141</f>
        <v>2020000</v>
      </c>
      <c r="K141" s="585">
        <v>721704</v>
      </c>
      <c r="L141" s="585">
        <f>+J141-K141</f>
        <v>1298296</v>
      </c>
      <c r="M141" s="586"/>
      <c r="O141" s="587">
        <f t="shared" si="2"/>
        <v>1298296</v>
      </c>
      <c r="V141" s="262"/>
      <c r="W141" s="255"/>
      <c r="AC141" s="262"/>
      <c r="AD141" s="588"/>
    </row>
    <row r="142" spans="1:30" ht="15" thickBot="1">
      <c r="A142" s="581" t="s">
        <v>2891</v>
      </c>
      <c r="B142" s="582" t="s">
        <v>174</v>
      </c>
      <c r="C142" s="583" t="s">
        <v>2784</v>
      </c>
      <c r="D142" s="583" t="s">
        <v>69</v>
      </c>
      <c r="E142" s="582" t="s">
        <v>33</v>
      </c>
      <c r="F142" s="584">
        <v>44759</v>
      </c>
      <c r="G142" s="584">
        <v>44805</v>
      </c>
      <c r="H142" s="584">
        <v>44820</v>
      </c>
      <c r="I142" s="585">
        <v>726950</v>
      </c>
      <c r="J142" s="585"/>
      <c r="K142" s="585"/>
      <c r="L142" s="585"/>
      <c r="M142" s="586"/>
      <c r="O142" s="587">
        <f t="shared" si="2"/>
        <v>0</v>
      </c>
      <c r="V142" s="262"/>
      <c r="W142" s="255"/>
      <c r="AC142" s="262"/>
      <c r="AD142" s="588"/>
    </row>
    <row r="143" spans="1:30" ht="15" thickBot="1">
      <c r="A143" s="581" t="s">
        <v>2892</v>
      </c>
      <c r="B143" s="582" t="s">
        <v>23</v>
      </c>
      <c r="C143" s="583" t="s">
        <v>2784</v>
      </c>
      <c r="D143" s="583" t="s">
        <v>69</v>
      </c>
      <c r="E143" s="582" t="s">
        <v>33</v>
      </c>
      <c r="F143" s="584">
        <v>44759</v>
      </c>
      <c r="G143" s="584">
        <v>44805</v>
      </c>
      <c r="H143" s="584">
        <v>44820</v>
      </c>
      <c r="I143" s="585">
        <f>81898.91</f>
        <v>81898.91</v>
      </c>
      <c r="J143" s="585">
        <f>+I143+I142-0.01</f>
        <v>808848.9</v>
      </c>
      <c r="K143" s="585">
        <v>721704</v>
      </c>
      <c r="L143" s="585">
        <f>+J143-K143</f>
        <v>87144.900000000023</v>
      </c>
      <c r="M143" s="586"/>
      <c r="O143" s="587">
        <f t="shared" si="2"/>
        <v>87144.900000000023</v>
      </c>
      <c r="V143" s="262"/>
      <c r="W143" s="255"/>
      <c r="AC143" s="262"/>
      <c r="AD143" s="588"/>
    </row>
    <row r="144" spans="1:30" ht="15" thickBot="1">
      <c r="A144" s="581" t="s">
        <v>2893</v>
      </c>
      <c r="B144" s="582" t="s">
        <v>1917</v>
      </c>
      <c r="C144" s="583" t="s">
        <v>2732</v>
      </c>
      <c r="D144" s="583" t="s">
        <v>2736</v>
      </c>
      <c r="E144" s="582" t="s">
        <v>33</v>
      </c>
      <c r="F144" s="584">
        <v>44574</v>
      </c>
      <c r="G144" s="584">
        <v>44694</v>
      </c>
      <c r="H144" s="584">
        <v>44699</v>
      </c>
      <c r="I144" s="585">
        <v>20000</v>
      </c>
      <c r="J144" s="585"/>
      <c r="K144" s="585"/>
      <c r="L144" s="585"/>
      <c r="M144" s="586"/>
      <c r="O144" s="587">
        <f t="shared" si="2"/>
        <v>0</v>
      </c>
      <c r="V144" s="262"/>
      <c r="W144" s="255"/>
      <c r="AC144" s="262"/>
      <c r="AD144" s="588"/>
    </row>
    <row r="145" spans="1:30" ht="15" thickBot="1">
      <c r="A145" s="581" t="s">
        <v>2894</v>
      </c>
      <c r="B145" s="582" t="s">
        <v>174</v>
      </c>
      <c r="C145" s="583" t="s">
        <v>2732</v>
      </c>
      <c r="D145" s="583" t="s">
        <v>2736</v>
      </c>
      <c r="E145" s="582" t="s">
        <v>33</v>
      </c>
      <c r="F145" s="584">
        <v>44574</v>
      </c>
      <c r="G145" s="584">
        <v>44704</v>
      </c>
      <c r="H145" s="584">
        <v>44727</v>
      </c>
      <c r="I145" s="585">
        <v>737400.88</v>
      </c>
      <c r="J145" s="585"/>
      <c r="K145" s="585"/>
      <c r="L145" s="585"/>
      <c r="M145" s="586"/>
      <c r="O145" s="587">
        <f t="shared" si="2"/>
        <v>0</v>
      </c>
      <c r="V145" s="262"/>
      <c r="W145" s="255"/>
      <c r="AC145" s="262"/>
      <c r="AD145" s="588"/>
    </row>
    <row r="146" spans="1:30" ht="15" thickBot="1">
      <c r="A146" s="581" t="s">
        <v>2895</v>
      </c>
      <c r="B146" s="582" t="s">
        <v>23</v>
      </c>
      <c r="C146" s="583" t="s">
        <v>2732</v>
      </c>
      <c r="D146" s="583" t="s">
        <v>2736</v>
      </c>
      <c r="E146" s="582" t="s">
        <v>33</v>
      </c>
      <c r="F146" s="584">
        <v>44574</v>
      </c>
      <c r="G146" s="584">
        <v>44704</v>
      </c>
      <c r="H146" s="584">
        <v>44711</v>
      </c>
      <c r="I146" s="585">
        <v>60000</v>
      </c>
      <c r="J146" s="585">
        <f>SUM(I144:I146)</f>
        <v>817400.88</v>
      </c>
      <c r="K146" s="585">
        <v>721704</v>
      </c>
      <c r="L146" s="585">
        <f>+J146-K146</f>
        <v>95696.88</v>
      </c>
      <c r="M146" s="586"/>
      <c r="O146" s="587">
        <f t="shared" si="2"/>
        <v>95696.88</v>
      </c>
      <c r="V146" s="262"/>
      <c r="W146" s="255"/>
      <c r="AC146" s="262"/>
      <c r="AD146" s="588"/>
    </row>
    <row r="147" spans="1:30" ht="15" thickBot="1">
      <c r="A147" s="581" t="s">
        <v>2649</v>
      </c>
      <c r="B147" s="582" t="s">
        <v>174</v>
      </c>
      <c r="C147" s="583" t="s">
        <v>2654</v>
      </c>
      <c r="D147" s="583" t="s">
        <v>59</v>
      </c>
      <c r="E147" s="582" t="s">
        <v>33</v>
      </c>
      <c r="F147" s="584">
        <v>44490</v>
      </c>
      <c r="G147" s="584">
        <v>44505</v>
      </c>
      <c r="H147" s="584">
        <v>44553</v>
      </c>
      <c r="I147" s="585">
        <v>688416.04</v>
      </c>
      <c r="J147" s="585"/>
      <c r="K147" s="585"/>
      <c r="L147" s="585"/>
      <c r="M147" s="586"/>
      <c r="O147" s="587">
        <f t="shared" si="2"/>
        <v>0</v>
      </c>
      <c r="V147" s="262"/>
      <c r="W147" s="255"/>
      <c r="AC147" s="262"/>
      <c r="AD147" s="588"/>
    </row>
    <row r="148" spans="1:30" ht="15" thickBot="1">
      <c r="A148" s="581" t="s">
        <v>2650</v>
      </c>
      <c r="B148" s="582" t="s">
        <v>23</v>
      </c>
      <c r="C148" s="583" t="s">
        <v>2654</v>
      </c>
      <c r="D148" s="583" t="s">
        <v>59</v>
      </c>
      <c r="E148" s="582" t="s">
        <v>33</v>
      </c>
      <c r="F148" s="584">
        <v>44490</v>
      </c>
      <c r="G148" s="584">
        <v>44505</v>
      </c>
      <c r="H148" s="584">
        <v>44553</v>
      </c>
      <c r="I148" s="585">
        <v>72277.490000000005</v>
      </c>
      <c r="J148" s="585"/>
      <c r="K148" s="585"/>
      <c r="L148" s="585"/>
      <c r="M148" s="586"/>
      <c r="O148" s="587">
        <f t="shared" si="2"/>
        <v>0</v>
      </c>
      <c r="V148" s="262"/>
      <c r="W148" s="255"/>
      <c r="AC148" s="262"/>
      <c r="AD148" s="588"/>
    </row>
    <row r="149" spans="1:30" ht="15" thickBot="1">
      <c r="A149" s="581" t="s">
        <v>2651</v>
      </c>
      <c r="B149" s="582" t="s">
        <v>1900</v>
      </c>
      <c r="C149" s="583" t="s">
        <v>2654</v>
      </c>
      <c r="D149" s="583" t="s">
        <v>59</v>
      </c>
      <c r="E149" s="582" t="s">
        <v>33</v>
      </c>
      <c r="F149" s="584">
        <v>44490</v>
      </c>
      <c r="G149" s="584">
        <v>44531</v>
      </c>
      <c r="H149" s="584">
        <v>44536</v>
      </c>
      <c r="I149" s="585">
        <v>66000</v>
      </c>
      <c r="J149" s="585"/>
      <c r="K149" s="585"/>
      <c r="L149" s="585"/>
      <c r="M149" s="586"/>
      <c r="O149" s="587">
        <f t="shared" si="2"/>
        <v>0</v>
      </c>
      <c r="V149" s="262"/>
      <c r="W149" s="255"/>
      <c r="AC149" s="262"/>
      <c r="AD149" s="588"/>
    </row>
    <row r="150" spans="1:30" ht="15" thickBot="1">
      <c r="A150" s="581" t="s">
        <v>2652</v>
      </c>
      <c r="B150" s="582" t="s">
        <v>1900</v>
      </c>
      <c r="C150" s="583" t="s">
        <v>2654</v>
      </c>
      <c r="D150" s="583" t="s">
        <v>59</v>
      </c>
      <c r="E150" s="582" t="s">
        <v>33</v>
      </c>
      <c r="F150" s="584">
        <v>44490</v>
      </c>
      <c r="G150" s="584">
        <v>44536</v>
      </c>
      <c r="H150" s="584">
        <v>44557</v>
      </c>
      <c r="I150" s="585">
        <v>20000</v>
      </c>
      <c r="J150" s="585"/>
      <c r="K150" s="585"/>
      <c r="L150" s="585"/>
      <c r="M150" s="586"/>
      <c r="O150" s="587">
        <f t="shared" si="2"/>
        <v>0</v>
      </c>
      <c r="V150" s="262"/>
      <c r="W150" s="255"/>
      <c r="AC150" s="262"/>
      <c r="AD150" s="588"/>
    </row>
    <row r="151" spans="1:30" ht="15" thickBot="1">
      <c r="A151" s="581" t="s">
        <v>2653</v>
      </c>
      <c r="B151" s="582" t="s">
        <v>23</v>
      </c>
      <c r="C151" s="583" t="s">
        <v>2654</v>
      </c>
      <c r="D151" s="583" t="s">
        <v>59</v>
      </c>
      <c r="E151" s="582" t="s">
        <v>33</v>
      </c>
      <c r="F151" s="584">
        <v>44490</v>
      </c>
      <c r="G151" s="584">
        <v>44531</v>
      </c>
      <c r="H151" s="584">
        <v>44536</v>
      </c>
      <c r="I151" s="585">
        <v>10768.89</v>
      </c>
      <c r="J151" s="585">
        <f>SUM(I147:I151)</f>
        <v>857462.42</v>
      </c>
      <c r="K151" s="585">
        <v>721704</v>
      </c>
      <c r="L151" s="585">
        <f>+J151-K151</f>
        <v>135758.42000000004</v>
      </c>
      <c r="M151" s="586"/>
      <c r="O151" s="587">
        <f t="shared" si="2"/>
        <v>135758.42000000004</v>
      </c>
      <c r="V151" s="262"/>
      <c r="W151" s="255"/>
      <c r="AC151" s="262"/>
      <c r="AD151" s="588"/>
    </row>
    <row r="152" spans="1:30" ht="15" thickBot="1">
      <c r="A152" s="581" t="s">
        <v>2896</v>
      </c>
      <c r="B152" s="582" t="s">
        <v>174</v>
      </c>
      <c r="C152" s="583" t="s">
        <v>2925</v>
      </c>
      <c r="D152" s="583" t="s">
        <v>2926</v>
      </c>
      <c r="E152" s="582" t="s">
        <v>33</v>
      </c>
      <c r="F152" s="584">
        <v>44909</v>
      </c>
      <c r="G152" s="584">
        <v>44970</v>
      </c>
      <c r="H152" s="584">
        <v>44978</v>
      </c>
      <c r="I152" s="585">
        <v>882335.85</v>
      </c>
      <c r="J152" s="585"/>
      <c r="K152" s="585"/>
      <c r="L152" s="585"/>
      <c r="M152" s="586"/>
      <c r="O152" s="587">
        <f t="shared" si="2"/>
        <v>0</v>
      </c>
      <c r="V152" s="262"/>
      <c r="W152" s="255"/>
      <c r="AC152" s="262"/>
      <c r="AD152" s="588"/>
    </row>
    <row r="153" spans="1:30" ht="15" thickBot="1">
      <c r="A153" s="581" t="s">
        <v>2897</v>
      </c>
      <c r="B153" s="582" t="s">
        <v>23</v>
      </c>
      <c r="C153" s="583" t="s">
        <v>2925</v>
      </c>
      <c r="D153" s="583" t="s">
        <v>2926</v>
      </c>
      <c r="E153" s="582" t="s">
        <v>33</v>
      </c>
      <c r="F153" s="584">
        <v>44909</v>
      </c>
      <c r="G153" s="584">
        <v>44970</v>
      </c>
      <c r="H153" s="584">
        <v>44978</v>
      </c>
      <c r="I153" s="585">
        <v>103500</v>
      </c>
      <c r="J153" s="585">
        <f>SUM(I152:I153)</f>
        <v>985835.85</v>
      </c>
      <c r="K153" s="585">
        <v>721704</v>
      </c>
      <c r="L153" s="585">
        <f>+J153-K153</f>
        <v>264131.84999999998</v>
      </c>
      <c r="M153" s="586"/>
      <c r="O153" s="587">
        <f t="shared" si="2"/>
        <v>264131.84999999998</v>
      </c>
      <c r="V153" s="262"/>
      <c r="W153" s="255"/>
      <c r="AC153" s="262"/>
      <c r="AD153" s="588"/>
    </row>
    <row r="154" spans="1:30" ht="15" thickBot="1">
      <c r="A154" s="581" t="s">
        <v>3068</v>
      </c>
      <c r="B154" s="582" t="s">
        <v>245</v>
      </c>
      <c r="C154" s="583" t="s">
        <v>3069</v>
      </c>
      <c r="D154" s="583" t="s">
        <v>3070</v>
      </c>
      <c r="E154" s="582" t="s">
        <v>33</v>
      </c>
      <c r="F154" s="584">
        <v>44881</v>
      </c>
      <c r="G154" s="584">
        <v>45037</v>
      </c>
      <c r="H154" s="584">
        <v>45272</v>
      </c>
      <c r="I154" s="585">
        <v>1003000</v>
      </c>
      <c r="J154" s="585">
        <f>+I154</f>
        <v>1003000</v>
      </c>
      <c r="K154" s="585">
        <v>721704</v>
      </c>
      <c r="L154" s="585">
        <f>+J154-K154</f>
        <v>281296</v>
      </c>
      <c r="M154" s="586"/>
      <c r="O154" s="587">
        <f t="shared" si="2"/>
        <v>281296</v>
      </c>
      <c r="V154" s="262"/>
      <c r="W154" s="255"/>
      <c r="AC154" s="262"/>
      <c r="AD154" s="588"/>
    </row>
    <row r="155" spans="1:30" ht="15" thickBot="1">
      <c r="A155" s="581" t="s">
        <v>2898</v>
      </c>
      <c r="B155" s="582" t="s">
        <v>174</v>
      </c>
      <c r="C155" s="583" t="s">
        <v>2927</v>
      </c>
      <c r="D155" s="583" t="s">
        <v>38</v>
      </c>
      <c r="E155" s="582" t="s">
        <v>33</v>
      </c>
      <c r="F155" s="584">
        <v>44617</v>
      </c>
      <c r="G155" s="584">
        <v>44866</v>
      </c>
      <c r="H155" s="584">
        <v>44879</v>
      </c>
      <c r="I155" s="585">
        <v>267665.34000000003</v>
      </c>
      <c r="J155" s="585"/>
      <c r="K155" s="585"/>
      <c r="L155" s="585"/>
      <c r="M155" s="586"/>
      <c r="O155" s="587">
        <f t="shared" si="2"/>
        <v>0</v>
      </c>
      <c r="V155" s="262"/>
      <c r="W155" s="255"/>
      <c r="AC155" s="262"/>
      <c r="AD155" s="588"/>
    </row>
    <row r="156" spans="1:30" ht="15" thickBot="1">
      <c r="A156" s="581" t="s">
        <v>2899</v>
      </c>
      <c r="B156" s="582" t="s">
        <v>174</v>
      </c>
      <c r="C156" s="583" t="s">
        <v>2927</v>
      </c>
      <c r="D156" s="583" t="s">
        <v>38</v>
      </c>
      <c r="E156" s="582" t="s">
        <v>33</v>
      </c>
      <c r="F156" s="584">
        <v>44617</v>
      </c>
      <c r="G156" s="584">
        <v>44648</v>
      </c>
      <c r="H156" s="584">
        <v>44650</v>
      </c>
      <c r="I156" s="585">
        <v>643668.88</v>
      </c>
      <c r="J156" s="585"/>
      <c r="K156" s="585"/>
      <c r="L156" s="585"/>
      <c r="M156" s="586"/>
      <c r="O156" s="587">
        <f t="shared" si="2"/>
        <v>0</v>
      </c>
      <c r="V156" s="262"/>
      <c r="W156" s="255"/>
      <c r="AC156" s="262"/>
      <c r="AD156" s="588"/>
    </row>
    <row r="157" spans="1:30" ht="15" thickBot="1">
      <c r="A157" s="581" t="s">
        <v>2900</v>
      </c>
      <c r="B157" s="582" t="s">
        <v>23</v>
      </c>
      <c r="C157" s="583" t="s">
        <v>2927</v>
      </c>
      <c r="D157" s="583" t="s">
        <v>38</v>
      </c>
      <c r="E157" s="582" t="s">
        <v>33</v>
      </c>
      <c r="F157" s="584">
        <v>44617</v>
      </c>
      <c r="G157" s="584">
        <v>44648</v>
      </c>
      <c r="H157" s="584">
        <v>44650</v>
      </c>
      <c r="I157" s="585">
        <v>43541.599999999999</v>
      </c>
      <c r="J157" s="585">
        <f>SUM(I155:I157)</f>
        <v>954875.82</v>
      </c>
      <c r="K157" s="585">
        <v>721704</v>
      </c>
      <c r="L157" s="585">
        <f>+J157-K157</f>
        <v>233171.81999999995</v>
      </c>
      <c r="M157" s="586"/>
      <c r="O157" s="587">
        <f t="shared" si="2"/>
        <v>233171.81999999995</v>
      </c>
      <c r="V157" s="262"/>
      <c r="W157" s="255"/>
      <c r="AC157" s="262"/>
      <c r="AD157" s="588"/>
    </row>
    <row r="158" spans="1:30" ht="15" thickBot="1">
      <c r="A158" s="581" t="s">
        <v>2901</v>
      </c>
      <c r="B158" s="582" t="s">
        <v>174</v>
      </c>
      <c r="C158" s="583" t="s">
        <v>2785</v>
      </c>
      <c r="D158" s="583" t="s">
        <v>2786</v>
      </c>
      <c r="E158" s="582" t="s">
        <v>33</v>
      </c>
      <c r="F158" s="584">
        <v>44566</v>
      </c>
      <c r="G158" s="584">
        <v>44677</v>
      </c>
      <c r="H158" s="584">
        <v>44679</v>
      </c>
      <c r="I158" s="585">
        <f>310000+5000</f>
        <v>315000</v>
      </c>
      <c r="J158" s="585"/>
      <c r="K158" s="585"/>
      <c r="L158" s="585"/>
      <c r="M158" s="586"/>
      <c r="O158" s="587">
        <f t="shared" si="2"/>
        <v>0</v>
      </c>
      <c r="V158" s="262"/>
      <c r="W158" s="255"/>
      <c r="AC158" s="262"/>
      <c r="AD158" s="588"/>
    </row>
    <row r="159" spans="1:30" ht="15" thickBot="1">
      <c r="A159" s="581" t="s">
        <v>2902</v>
      </c>
      <c r="B159" s="582" t="s">
        <v>23</v>
      </c>
      <c r="C159" s="583" t="s">
        <v>2785</v>
      </c>
      <c r="D159" s="583" t="s">
        <v>2786</v>
      </c>
      <c r="E159" s="582" t="s">
        <v>33</v>
      </c>
      <c r="F159" s="584">
        <v>44566</v>
      </c>
      <c r="G159" s="584">
        <v>44677</v>
      </c>
      <c r="H159" s="584">
        <v>44679</v>
      </c>
      <c r="I159" s="585">
        <v>63267.72</v>
      </c>
      <c r="J159" s="585"/>
      <c r="K159" s="585"/>
      <c r="L159" s="585"/>
      <c r="M159" s="586"/>
      <c r="O159" s="587">
        <f t="shared" si="2"/>
        <v>0</v>
      </c>
      <c r="V159" s="262"/>
      <c r="W159" s="255"/>
      <c r="AC159" s="262"/>
      <c r="AD159" s="588"/>
    </row>
    <row r="160" spans="1:30" ht="15" thickBot="1">
      <c r="A160" s="581" t="s">
        <v>2903</v>
      </c>
      <c r="B160" s="582" t="s">
        <v>30</v>
      </c>
      <c r="C160" s="583" t="s">
        <v>2785</v>
      </c>
      <c r="D160" s="583" t="s">
        <v>2786</v>
      </c>
      <c r="E160" s="582" t="s">
        <v>33</v>
      </c>
      <c r="F160" s="584">
        <v>44566</v>
      </c>
      <c r="G160" s="584">
        <v>44691</v>
      </c>
      <c r="H160" s="584">
        <v>44698</v>
      </c>
      <c r="I160" s="585">
        <v>30380.61</v>
      </c>
      <c r="J160" s="585"/>
      <c r="K160" s="585"/>
      <c r="L160" s="585"/>
      <c r="M160" s="586"/>
      <c r="O160" s="587">
        <f t="shared" si="2"/>
        <v>0</v>
      </c>
      <c r="V160" s="262"/>
      <c r="W160" s="255"/>
      <c r="AC160" s="262"/>
      <c r="AD160" s="588"/>
    </row>
    <row r="161" spans="1:30" ht="15" thickBot="1">
      <c r="A161" s="581" t="s">
        <v>2904</v>
      </c>
      <c r="B161" s="582" t="s">
        <v>174</v>
      </c>
      <c r="C161" s="583" t="s">
        <v>2785</v>
      </c>
      <c r="D161" s="583" t="s">
        <v>2786</v>
      </c>
      <c r="E161" s="582" t="s">
        <v>33</v>
      </c>
      <c r="F161" s="584">
        <v>44566</v>
      </c>
      <c r="G161" s="584">
        <v>44691</v>
      </c>
      <c r="H161" s="584">
        <v>44698</v>
      </c>
      <c r="I161" s="585">
        <v>110000</v>
      </c>
      <c r="J161" s="585"/>
      <c r="K161" s="585"/>
      <c r="L161" s="585"/>
      <c r="M161" s="586"/>
      <c r="O161" s="587">
        <f t="shared" si="2"/>
        <v>0</v>
      </c>
      <c r="V161" s="262"/>
      <c r="W161" s="255"/>
      <c r="AC161" s="262"/>
      <c r="AD161" s="588"/>
    </row>
    <row r="162" spans="1:30" ht="15" thickBot="1">
      <c r="A162" s="581" t="s">
        <v>2905</v>
      </c>
      <c r="B162" s="582" t="s">
        <v>245</v>
      </c>
      <c r="C162" s="583" t="s">
        <v>2785</v>
      </c>
      <c r="D162" s="583" t="s">
        <v>2786</v>
      </c>
      <c r="E162" s="582" t="s">
        <v>33</v>
      </c>
      <c r="F162" s="584">
        <v>44566</v>
      </c>
      <c r="G162" s="584">
        <v>44713</v>
      </c>
      <c r="H162" s="584">
        <v>44788</v>
      </c>
      <c r="I162" s="585">
        <v>180000</v>
      </c>
      <c r="J162" s="585"/>
      <c r="K162" s="585"/>
      <c r="L162" s="585"/>
      <c r="M162" s="586"/>
      <c r="O162" s="587">
        <f t="shared" si="2"/>
        <v>0</v>
      </c>
      <c r="V162" s="262"/>
      <c r="W162" s="255"/>
      <c r="AC162" s="262"/>
      <c r="AD162" s="588"/>
    </row>
    <row r="163" spans="1:30" ht="15" thickBot="1">
      <c r="A163" s="581" t="s">
        <v>2906</v>
      </c>
      <c r="B163" s="582" t="s">
        <v>174</v>
      </c>
      <c r="C163" s="583" t="s">
        <v>2785</v>
      </c>
      <c r="D163" s="583" t="s">
        <v>2786</v>
      </c>
      <c r="E163" s="582" t="s">
        <v>33</v>
      </c>
      <c r="F163" s="584">
        <v>44566</v>
      </c>
      <c r="G163" s="584">
        <v>44713</v>
      </c>
      <c r="H163" s="584">
        <v>44728</v>
      </c>
      <c r="I163" s="585">
        <v>100000</v>
      </c>
      <c r="J163" s="585"/>
      <c r="K163" s="585"/>
      <c r="L163" s="585"/>
      <c r="M163" s="586"/>
      <c r="O163" s="587">
        <f t="shared" si="2"/>
        <v>0</v>
      </c>
      <c r="V163" s="262"/>
      <c r="W163" s="255"/>
      <c r="AC163" s="262"/>
      <c r="AD163" s="588"/>
    </row>
    <row r="164" spans="1:30" ht="15" thickBot="1">
      <c r="A164" s="581" t="s">
        <v>2907</v>
      </c>
      <c r="B164" s="582" t="s">
        <v>23</v>
      </c>
      <c r="C164" s="583" t="s">
        <v>2785</v>
      </c>
      <c r="D164" s="583" t="s">
        <v>2786</v>
      </c>
      <c r="E164" s="582" t="s">
        <v>33</v>
      </c>
      <c r="F164" s="584">
        <v>44566</v>
      </c>
      <c r="G164" s="584">
        <v>44713</v>
      </c>
      <c r="H164" s="584">
        <v>44728</v>
      </c>
      <c r="I164" s="585">
        <v>60000</v>
      </c>
      <c r="J164" s="585">
        <f>SUM(I158:I164)</f>
        <v>858648.33</v>
      </c>
      <c r="K164" s="585">
        <v>721704</v>
      </c>
      <c r="L164" s="585">
        <f>+J164-K164</f>
        <v>136944.32999999996</v>
      </c>
      <c r="M164" s="586"/>
      <c r="O164" s="587">
        <f t="shared" si="2"/>
        <v>136944.32999999996</v>
      </c>
      <c r="V164" s="262"/>
      <c r="W164" s="255"/>
      <c r="AC164" s="262"/>
      <c r="AD164" s="588"/>
    </row>
    <row r="165" spans="1:30" ht="15" thickBot="1">
      <c r="A165" s="581" t="s">
        <v>3071</v>
      </c>
      <c r="B165" s="582" t="s">
        <v>93</v>
      </c>
      <c r="C165" s="583" t="s">
        <v>3072</v>
      </c>
      <c r="D165" s="583" t="s">
        <v>517</v>
      </c>
      <c r="E165" s="582" t="s">
        <v>33</v>
      </c>
      <c r="F165" s="584">
        <v>44906</v>
      </c>
      <c r="G165" s="584">
        <v>44967</v>
      </c>
      <c r="H165" s="584">
        <v>44987</v>
      </c>
      <c r="I165" s="585">
        <v>1010000</v>
      </c>
      <c r="J165" s="585">
        <f>+I165</f>
        <v>1010000</v>
      </c>
      <c r="K165" s="585">
        <v>721704</v>
      </c>
      <c r="L165" s="585">
        <f>+J165-K165</f>
        <v>288296</v>
      </c>
      <c r="M165" s="586"/>
      <c r="O165" s="587">
        <f t="shared" si="2"/>
        <v>288296</v>
      </c>
      <c r="V165" s="262"/>
      <c r="W165" s="255"/>
      <c r="AC165" s="262"/>
      <c r="AD165" s="588"/>
    </row>
    <row r="166" spans="1:30" ht="15" thickBot="1">
      <c r="A166" s="581" t="s">
        <v>2952</v>
      </c>
      <c r="B166" s="582" t="s">
        <v>174</v>
      </c>
      <c r="C166" s="583" t="s">
        <v>2954</v>
      </c>
      <c r="D166" s="583" t="s">
        <v>595</v>
      </c>
      <c r="E166" s="582" t="s">
        <v>33</v>
      </c>
      <c r="F166" s="584">
        <v>44835</v>
      </c>
      <c r="G166" s="584">
        <v>44872</v>
      </c>
      <c r="H166" s="584">
        <v>45105</v>
      </c>
      <c r="I166" s="585">
        <v>864855.83</v>
      </c>
      <c r="J166" s="585"/>
      <c r="K166" s="585"/>
      <c r="L166" s="585"/>
      <c r="M166" s="586"/>
      <c r="O166" s="587">
        <f t="shared" si="2"/>
        <v>0</v>
      </c>
      <c r="V166" s="262"/>
      <c r="W166" s="255"/>
      <c r="AC166" s="262"/>
      <c r="AD166" s="588"/>
    </row>
    <row r="167" spans="1:30" ht="15" thickBot="1">
      <c r="A167" s="581" t="s">
        <v>2953</v>
      </c>
      <c r="B167" s="582" t="s">
        <v>23</v>
      </c>
      <c r="C167" s="583" t="s">
        <v>2954</v>
      </c>
      <c r="D167" s="583" t="s">
        <v>595</v>
      </c>
      <c r="E167" s="582" t="s">
        <v>33</v>
      </c>
      <c r="F167" s="584">
        <v>44835</v>
      </c>
      <c r="G167" s="584">
        <v>44872</v>
      </c>
      <c r="H167" s="584">
        <v>45105</v>
      </c>
      <c r="I167" s="585">
        <v>103500</v>
      </c>
      <c r="J167" s="585"/>
      <c r="K167" s="585"/>
      <c r="L167" s="585"/>
      <c r="M167" s="586"/>
      <c r="O167" s="587">
        <f t="shared" si="2"/>
        <v>0</v>
      </c>
      <c r="V167" s="262"/>
      <c r="W167" s="255"/>
      <c r="AC167" s="262"/>
      <c r="AD167" s="588"/>
    </row>
    <row r="168" spans="1:30" ht="15" thickBot="1">
      <c r="A168" s="581" t="s">
        <v>2955</v>
      </c>
      <c r="B168" s="582" t="s">
        <v>1900</v>
      </c>
      <c r="C168" s="583" t="s">
        <v>2954</v>
      </c>
      <c r="D168" s="583" t="s">
        <v>595</v>
      </c>
      <c r="E168" s="582" t="s">
        <v>33</v>
      </c>
      <c r="F168" s="584">
        <v>44835</v>
      </c>
      <c r="G168" s="584">
        <v>44861</v>
      </c>
      <c r="H168" s="584">
        <v>44879</v>
      </c>
      <c r="I168" s="585">
        <v>145000</v>
      </c>
      <c r="J168" s="585">
        <f>+I168+I167+I166</f>
        <v>1113355.83</v>
      </c>
      <c r="K168" s="585">
        <v>721704</v>
      </c>
      <c r="L168" s="585">
        <f>+J168-K168</f>
        <v>391651.83000000007</v>
      </c>
      <c r="M168" s="586"/>
      <c r="O168" s="587">
        <f t="shared" si="2"/>
        <v>391651.83000000007</v>
      </c>
      <c r="V168" s="262"/>
      <c r="W168" s="255"/>
      <c r="AC168" s="262"/>
      <c r="AD168" s="588"/>
    </row>
    <row r="169" spans="1:30" ht="15" thickBot="1">
      <c r="A169" s="581" t="s">
        <v>2787</v>
      </c>
      <c r="B169" s="582" t="s">
        <v>1917</v>
      </c>
      <c r="C169" s="583" t="s">
        <v>2788</v>
      </c>
      <c r="D169" s="583" t="s">
        <v>2789</v>
      </c>
      <c r="E169" s="582" t="s">
        <v>33</v>
      </c>
      <c r="F169" s="584">
        <v>44817</v>
      </c>
      <c r="G169" s="584">
        <v>44854</v>
      </c>
      <c r="H169" s="584">
        <v>44861</v>
      </c>
      <c r="I169" s="585">
        <v>40000</v>
      </c>
      <c r="J169" s="585"/>
      <c r="K169" s="585"/>
      <c r="L169" s="585"/>
      <c r="M169" s="586"/>
      <c r="O169" s="587">
        <f t="shared" si="2"/>
        <v>0</v>
      </c>
      <c r="V169" s="262"/>
      <c r="W169" s="255"/>
      <c r="AC169" s="262"/>
      <c r="AD169" s="588"/>
    </row>
    <row r="170" spans="1:30" ht="15" thickBot="1">
      <c r="A170" s="581" t="s">
        <v>2790</v>
      </c>
      <c r="B170" s="582" t="s">
        <v>174</v>
      </c>
      <c r="C170" s="583" t="s">
        <v>2788</v>
      </c>
      <c r="D170" s="583" t="s">
        <v>2789</v>
      </c>
      <c r="E170" s="582" t="s">
        <v>33</v>
      </c>
      <c r="F170" s="584">
        <v>44817</v>
      </c>
      <c r="G170" s="584">
        <v>44854</v>
      </c>
      <c r="H170" s="584">
        <v>44861</v>
      </c>
      <c r="I170" s="585">
        <v>950931.61</v>
      </c>
      <c r="J170" s="585"/>
      <c r="K170" s="585"/>
      <c r="L170" s="585"/>
      <c r="M170" s="586"/>
      <c r="O170" s="587">
        <f t="shared" si="2"/>
        <v>0</v>
      </c>
      <c r="V170" s="262"/>
      <c r="W170" s="255"/>
      <c r="AC170" s="262"/>
      <c r="AD170" s="588"/>
    </row>
    <row r="171" spans="1:30" ht="15" thickBot="1">
      <c r="A171" s="581" t="s">
        <v>2791</v>
      </c>
      <c r="B171" s="582" t="s">
        <v>30</v>
      </c>
      <c r="C171" s="583" t="s">
        <v>2788</v>
      </c>
      <c r="D171" s="583" t="s">
        <v>2789</v>
      </c>
      <c r="E171" s="582" t="s">
        <v>33</v>
      </c>
      <c r="F171" s="584">
        <v>44817</v>
      </c>
      <c r="G171" s="584">
        <v>44854</v>
      </c>
      <c r="H171" s="584">
        <v>44861</v>
      </c>
      <c r="I171" s="585">
        <v>18798.64</v>
      </c>
      <c r="J171" s="585"/>
      <c r="K171" s="585"/>
      <c r="L171" s="585"/>
      <c r="M171" s="586"/>
      <c r="O171" s="587">
        <f t="shared" si="2"/>
        <v>0</v>
      </c>
      <c r="V171" s="262"/>
      <c r="W171" s="255"/>
      <c r="AC171" s="262"/>
      <c r="AD171" s="588"/>
    </row>
    <row r="172" spans="1:30" ht="15" thickBot="1">
      <c r="A172" s="581" t="s">
        <v>2908</v>
      </c>
      <c r="B172" s="582" t="s">
        <v>174</v>
      </c>
      <c r="C172" s="583" t="s">
        <v>2788</v>
      </c>
      <c r="D172" s="583" t="s">
        <v>2789</v>
      </c>
      <c r="E172" s="582" t="s">
        <v>33</v>
      </c>
      <c r="F172" s="584">
        <v>44817</v>
      </c>
      <c r="G172" s="584">
        <v>44973</v>
      </c>
      <c r="H172" s="584">
        <v>44974</v>
      </c>
      <c r="I172" s="585">
        <v>235954.76</v>
      </c>
      <c r="J172" s="585"/>
      <c r="K172" s="585"/>
      <c r="L172" s="585"/>
      <c r="M172" s="586"/>
      <c r="O172" s="587">
        <f t="shared" si="2"/>
        <v>0</v>
      </c>
      <c r="V172" s="262"/>
      <c r="W172" s="255"/>
      <c r="AC172" s="262"/>
      <c r="AD172" s="588"/>
    </row>
    <row r="173" spans="1:30" ht="15" thickBot="1">
      <c r="A173" s="581" t="s">
        <v>2909</v>
      </c>
      <c r="B173" s="582" t="s">
        <v>30</v>
      </c>
      <c r="C173" s="583" t="s">
        <v>2788</v>
      </c>
      <c r="D173" s="583" t="s">
        <v>2789</v>
      </c>
      <c r="E173" s="582" t="s">
        <v>33</v>
      </c>
      <c r="F173" s="584">
        <v>44817</v>
      </c>
      <c r="G173" s="584">
        <v>44973</v>
      </c>
      <c r="H173" s="584">
        <v>44974</v>
      </c>
      <c r="I173" s="585">
        <v>112098.51</v>
      </c>
      <c r="J173" s="585">
        <f>SUM(I169:I173)</f>
        <v>1357783.52</v>
      </c>
      <c r="K173" s="585">
        <v>721704</v>
      </c>
      <c r="L173" s="585">
        <f>+J173-K173</f>
        <v>636079.52</v>
      </c>
      <c r="M173" s="586"/>
      <c r="O173" s="587">
        <f t="shared" si="2"/>
        <v>636079.52</v>
      </c>
      <c r="V173" s="262"/>
      <c r="W173" s="255"/>
      <c r="AC173" s="262"/>
      <c r="AD173" s="588"/>
    </row>
    <row r="174" spans="1:30" ht="15" thickBot="1">
      <c r="H174" s="508" t="s">
        <v>1941</v>
      </c>
      <c r="I174" s="561">
        <f>SUM(I9:I173)</f>
        <v>75025627.209999964</v>
      </c>
      <c r="J174" s="561">
        <f t="shared" ref="J174:L174" si="3">SUM(J9:J173)</f>
        <v>75025627.199999973</v>
      </c>
      <c r="K174" s="561">
        <f t="shared" si="3"/>
        <v>41137128</v>
      </c>
      <c r="L174" s="561">
        <f t="shared" si="3"/>
        <v>33888499.199999996</v>
      </c>
      <c r="M174" s="561"/>
      <c r="O174" s="524">
        <f>SUM(O10:O173)</f>
        <v>33888499.199999996</v>
      </c>
    </row>
    <row r="175" spans="1:30">
      <c r="K175" s="589"/>
      <c r="L175" s="589"/>
    </row>
    <row r="177" spans="6:15">
      <c r="F177" s="590"/>
    </row>
    <row r="179" spans="6:15">
      <c r="I179" s="399" t="s">
        <v>2557</v>
      </c>
      <c r="J179" s="399" t="s">
        <v>2535</v>
      </c>
      <c r="K179" s="591">
        <v>43222947.499999963</v>
      </c>
      <c r="L179" s="592">
        <f>L174/K179</f>
        <v>0.78403952437533386</v>
      </c>
      <c r="O179" s="82"/>
    </row>
    <row r="180" spans="6:15">
      <c r="I180" s="591">
        <v>113500000</v>
      </c>
      <c r="J180" s="399" t="s">
        <v>2928</v>
      </c>
      <c r="K180" s="591">
        <v>18670000</v>
      </c>
      <c r="L180" s="589"/>
    </row>
    <row r="181" spans="6:15">
      <c r="I181" s="593">
        <f>L174/I180</f>
        <v>0.29857708546255501</v>
      </c>
      <c r="J181" s="399" t="s">
        <v>2929</v>
      </c>
      <c r="K181" s="591">
        <f>K179-K180</f>
        <v>24552947.499999963</v>
      </c>
      <c r="L181" s="589"/>
      <c r="O181" s="266"/>
    </row>
    <row r="182" spans="6:15" ht="24.6">
      <c r="J182" s="594" t="s">
        <v>3155</v>
      </c>
      <c r="K182" s="591">
        <v>24552947.499999963</v>
      </c>
      <c r="L182" s="589"/>
      <c r="M182" s="86"/>
    </row>
    <row r="183" spans="6:15" ht="24.6">
      <c r="J183" s="595" t="s">
        <v>3020</v>
      </c>
      <c r="K183" s="596">
        <f>+K181-K182</f>
        <v>0</v>
      </c>
      <c r="L183" s="589"/>
    </row>
  </sheetData>
  <autoFilter ref="A6:M174" xr:uid="{00000000-0009-0000-0000-00000C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A9:M174">
    <sortCondition ref="C9:C174"/>
  </sortState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disablePrompts="1" count="1">
    <dataValidation type="list" allowBlank="1" showInputMessage="1" showErrorMessage="1" sqref="B10:B90" xr:uid="{00000000-0002-0000-0C00-000000000000}">
      <formula1>#REF!</formula1>
    </dataValidation>
  </dataValidations>
  <pageMargins left="0.7" right="0.7" top="0.75" bottom="0.75" header="0.3" footer="0.3"/>
  <pageSetup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130"/>
  <sheetViews>
    <sheetView topLeftCell="D106" workbookViewId="0">
      <selection activeCell="L125" sqref="L125"/>
    </sheetView>
  </sheetViews>
  <sheetFormatPr baseColWidth="10" defaultRowHeight="14.4"/>
  <cols>
    <col min="1" max="1" width="19.33203125" bestFit="1" customWidth="1"/>
    <col min="2" max="2" width="21.6640625" customWidth="1"/>
    <col min="3" max="3" width="59.6640625" bestFit="1" customWidth="1"/>
    <col min="4" max="4" width="41.44140625" customWidth="1"/>
    <col min="5" max="5" width="17.109375" customWidth="1"/>
    <col min="6" max="7" width="11.44140625" customWidth="1"/>
    <col min="8" max="8" width="13.5546875" customWidth="1"/>
    <col min="9" max="9" width="14.88671875" bestFit="1" customWidth="1"/>
    <col min="10" max="10" width="16.44140625" customWidth="1"/>
    <col min="11" max="12" width="15.5546875" bestFit="1" customWidth="1"/>
    <col min="13" max="13" width="15.33203125" bestFit="1" customWidth="1"/>
    <col min="15" max="15" width="20.109375" bestFit="1" customWidth="1"/>
    <col min="16" max="16" width="12.88671875" bestFit="1" customWidth="1"/>
    <col min="22" max="22" width="38.44140625" bestFit="1" customWidth="1"/>
    <col min="23" max="23" width="29.109375" bestFit="1" customWidth="1"/>
    <col min="29" max="29" width="22.109375" bestFit="1" customWidth="1"/>
    <col min="30" max="30" width="30" bestFit="1" customWidth="1"/>
  </cols>
  <sheetData>
    <row r="1" spans="1:30" ht="18.600000000000001" thickBot="1">
      <c r="A1" s="14" t="s">
        <v>0</v>
      </c>
      <c r="B1" s="14"/>
      <c r="C1" s="12" t="s">
        <v>1886</v>
      </c>
      <c r="D1" s="1"/>
      <c r="E1" s="1"/>
      <c r="F1" s="1"/>
      <c r="G1" s="1"/>
      <c r="H1" s="1"/>
      <c r="I1" s="1"/>
      <c r="J1" s="1"/>
      <c r="K1" s="1"/>
      <c r="L1" s="1"/>
      <c r="M1" s="2"/>
    </row>
    <row r="2" spans="1:30" ht="18.600000000000001" thickBot="1">
      <c r="A2" s="793" t="s">
        <v>2</v>
      </c>
      <c r="B2" s="794"/>
      <c r="C2" s="12" t="s">
        <v>612</v>
      </c>
      <c r="D2" s="1"/>
      <c r="E2" s="1"/>
      <c r="F2" s="1"/>
      <c r="G2" s="1"/>
      <c r="H2" s="1"/>
      <c r="I2" s="1"/>
      <c r="J2" s="1"/>
      <c r="K2" s="1"/>
      <c r="L2" s="1"/>
      <c r="M2" s="2"/>
    </row>
    <row r="3" spans="1:30" ht="18.600000000000001" thickBot="1">
      <c r="A3" s="795" t="s">
        <v>1666</v>
      </c>
      <c r="B3" s="796"/>
      <c r="C3" s="15">
        <v>23.865100000000002</v>
      </c>
      <c r="D3" s="1"/>
      <c r="E3" s="1"/>
      <c r="F3" s="1"/>
      <c r="G3" s="1"/>
      <c r="H3" s="1"/>
      <c r="I3" s="1"/>
      <c r="J3" s="1"/>
      <c r="K3" s="1"/>
      <c r="L3" s="1"/>
      <c r="M3" s="2"/>
    </row>
    <row r="4" spans="1:30" ht="18.600000000000001" thickBot="1">
      <c r="A4" s="797" t="s">
        <v>1665</v>
      </c>
      <c r="B4" s="798"/>
      <c r="C4" s="799" t="s">
        <v>2499</v>
      </c>
      <c r="D4" s="800"/>
      <c r="E4" s="801"/>
      <c r="F4" s="802"/>
      <c r="G4" s="802"/>
      <c r="H4" s="802"/>
      <c r="I4" s="802"/>
      <c r="J4" s="802"/>
      <c r="K4" s="802"/>
      <c r="L4" s="802"/>
      <c r="M4" s="803"/>
    </row>
    <row r="5" spans="1:30" ht="18.600000000000001" thickBot="1">
      <c r="A5" s="804"/>
      <c r="B5" s="805"/>
      <c r="C5" s="806"/>
      <c r="D5" s="806"/>
      <c r="E5" s="806"/>
      <c r="F5" s="805"/>
      <c r="G5" s="805"/>
      <c r="H5" s="805"/>
      <c r="I5" s="805"/>
      <c r="J5" s="805"/>
      <c r="K5" s="805"/>
      <c r="L5" s="805"/>
      <c r="M5" s="807"/>
    </row>
    <row r="6" spans="1:30" ht="18" thickBot="1">
      <c r="A6" s="786" t="s">
        <v>7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8"/>
      <c r="O6" s="789" t="s">
        <v>1092</v>
      </c>
      <c r="P6" s="790"/>
    </row>
    <row r="7" spans="1:30" ht="18" thickBot="1">
      <c r="A7" s="791" t="s">
        <v>2498</v>
      </c>
      <c r="B7" s="792"/>
      <c r="C7" s="792"/>
      <c r="D7" s="792"/>
      <c r="E7" s="792"/>
      <c r="F7" s="792"/>
      <c r="G7" s="792"/>
      <c r="H7" s="792"/>
      <c r="I7" s="792"/>
      <c r="J7" s="792"/>
      <c r="K7" s="792"/>
      <c r="L7" s="792"/>
      <c r="M7" s="792"/>
    </row>
    <row r="8" spans="1:30" ht="28.2" thickBot="1">
      <c r="A8" s="27" t="s">
        <v>9</v>
      </c>
      <c r="B8" s="27" t="s">
        <v>10</v>
      </c>
      <c r="C8" s="28" t="s">
        <v>11</v>
      </c>
      <c r="D8" s="28" t="s">
        <v>12</v>
      </c>
      <c r="E8" s="29" t="s">
        <v>13</v>
      </c>
      <c r="F8" s="28" t="s">
        <v>14</v>
      </c>
      <c r="G8" s="28" t="s">
        <v>15</v>
      </c>
      <c r="H8" s="28" t="s">
        <v>16</v>
      </c>
      <c r="I8" s="54" t="s">
        <v>17</v>
      </c>
      <c r="J8" s="28" t="s">
        <v>18</v>
      </c>
      <c r="K8" s="28" t="s">
        <v>19</v>
      </c>
      <c r="L8" s="29" t="s">
        <v>20</v>
      </c>
      <c r="M8" s="28" t="s">
        <v>21</v>
      </c>
      <c r="O8" s="23" t="s">
        <v>1090</v>
      </c>
      <c r="P8" s="24">
        <f>'BURNING COST'!F8</f>
        <v>721704</v>
      </c>
      <c r="V8" s="17" t="s">
        <v>1062</v>
      </c>
      <c r="W8" t="s">
        <v>2534</v>
      </c>
      <c r="AC8" s="33" t="s">
        <v>1062</v>
      </c>
      <c r="AD8" s="33" t="s">
        <v>2534</v>
      </c>
    </row>
    <row r="9" spans="1:30" ht="15" thickBot="1">
      <c r="A9" s="35" t="s">
        <v>2558</v>
      </c>
      <c r="B9" s="36" t="s">
        <v>36</v>
      </c>
      <c r="C9" s="37" t="s">
        <v>2562</v>
      </c>
      <c r="D9" s="37" t="s">
        <v>2401</v>
      </c>
      <c r="E9" s="36" t="s">
        <v>33</v>
      </c>
      <c r="F9" s="59">
        <v>44296</v>
      </c>
      <c r="G9" s="59">
        <v>44328</v>
      </c>
      <c r="H9" s="59">
        <v>44379</v>
      </c>
      <c r="I9" s="55">
        <v>1500000</v>
      </c>
      <c r="J9" s="38"/>
      <c r="K9" s="38"/>
      <c r="L9" s="39"/>
      <c r="M9" s="26"/>
      <c r="O9" s="5" t="s">
        <v>1091</v>
      </c>
      <c r="V9" s="6" t="s">
        <v>2326</v>
      </c>
      <c r="W9" s="3">
        <v>4887751.4000000004</v>
      </c>
      <c r="AC9" s="6" t="s">
        <v>30</v>
      </c>
      <c r="AD9" s="13">
        <v>153000</v>
      </c>
    </row>
    <row r="10" spans="1:30">
      <c r="A10" s="35" t="s">
        <v>2559</v>
      </c>
      <c r="B10" s="40" t="s">
        <v>1917</v>
      </c>
      <c r="C10" s="37" t="s">
        <v>2562</v>
      </c>
      <c r="D10" s="37" t="s">
        <v>2401</v>
      </c>
      <c r="E10" s="36" t="s">
        <v>33</v>
      </c>
      <c r="F10" s="60">
        <v>44296</v>
      </c>
      <c r="G10" s="60">
        <v>44320</v>
      </c>
      <c r="H10" s="60">
        <v>44328</v>
      </c>
      <c r="I10" s="56">
        <v>20000</v>
      </c>
      <c r="J10" s="30"/>
      <c r="K10" s="30"/>
      <c r="L10" s="31"/>
      <c r="M10" s="26"/>
      <c r="O10" s="22">
        <f>IF($J10&gt;P$8,$J10-P$8,0)</f>
        <v>0</v>
      </c>
      <c r="V10" s="6" t="s">
        <v>2401</v>
      </c>
      <c r="W10" s="3">
        <v>1520000</v>
      </c>
      <c r="AC10" s="6" t="s">
        <v>23</v>
      </c>
      <c r="AD10" s="13">
        <v>493387.22</v>
      </c>
    </row>
    <row r="11" spans="1:30">
      <c r="A11" s="35" t="s">
        <v>2560</v>
      </c>
      <c r="B11" s="40" t="s">
        <v>174</v>
      </c>
      <c r="C11" s="37" t="s">
        <v>2562</v>
      </c>
      <c r="D11" s="37" t="s">
        <v>2563</v>
      </c>
      <c r="E11" s="36" t="s">
        <v>33</v>
      </c>
      <c r="F11" s="60">
        <v>44296</v>
      </c>
      <c r="G11" s="60">
        <v>44320</v>
      </c>
      <c r="H11" s="60">
        <v>44379</v>
      </c>
      <c r="I11" s="56">
        <v>1000000</v>
      </c>
      <c r="J11" s="30"/>
      <c r="K11" s="30"/>
      <c r="L11" s="31"/>
      <c r="M11" s="26"/>
      <c r="O11" s="22">
        <f t="shared" ref="O11:O93" si="0">IF($J11&gt;P$8,$J11-P$8,0)</f>
        <v>0</v>
      </c>
      <c r="V11" s="6" t="s">
        <v>2563</v>
      </c>
      <c r="W11" s="3">
        <v>1032500</v>
      </c>
      <c r="AC11" s="6" t="s">
        <v>174</v>
      </c>
      <c r="AD11" s="13">
        <v>10958022.040000001</v>
      </c>
    </row>
    <row r="12" spans="1:30">
      <c r="A12" s="35" t="s">
        <v>2561</v>
      </c>
      <c r="B12" s="40" t="s">
        <v>23</v>
      </c>
      <c r="C12" s="37" t="s">
        <v>2562</v>
      </c>
      <c r="D12" s="37" t="s">
        <v>2563</v>
      </c>
      <c r="E12" s="36" t="s">
        <v>33</v>
      </c>
      <c r="F12" s="60">
        <v>44296</v>
      </c>
      <c r="G12" s="60">
        <v>44320</v>
      </c>
      <c r="H12" s="60">
        <v>44328</v>
      </c>
      <c r="I12" s="56">
        <v>32500</v>
      </c>
      <c r="J12" s="30">
        <f>SUM(I9:I12)</f>
        <v>2552500</v>
      </c>
      <c r="K12" s="30">
        <v>721704</v>
      </c>
      <c r="L12" s="53">
        <f>+J12-K12</f>
        <v>1830796</v>
      </c>
      <c r="M12" s="26"/>
      <c r="O12" s="22">
        <f t="shared" si="0"/>
        <v>1830796</v>
      </c>
      <c r="V12" s="6" t="s">
        <v>2569</v>
      </c>
      <c r="W12" s="3">
        <v>966340.02</v>
      </c>
      <c r="AC12" s="6" t="s">
        <v>36</v>
      </c>
      <c r="AD12" s="13">
        <v>1979372.83</v>
      </c>
    </row>
    <row r="13" spans="1:30">
      <c r="A13" s="35" t="s">
        <v>2564</v>
      </c>
      <c r="B13" s="40" t="s">
        <v>958</v>
      </c>
      <c r="C13" s="37" t="s">
        <v>2568</v>
      </c>
      <c r="D13" s="37" t="s">
        <v>2569</v>
      </c>
      <c r="E13" s="36" t="s">
        <v>33</v>
      </c>
      <c r="F13" s="60">
        <v>44362</v>
      </c>
      <c r="G13" s="60">
        <v>44422</v>
      </c>
      <c r="H13" s="60">
        <v>44494</v>
      </c>
      <c r="I13" s="56">
        <v>20000</v>
      </c>
      <c r="J13" s="30"/>
      <c r="K13" s="30"/>
      <c r="L13" s="31"/>
      <c r="M13" s="26"/>
      <c r="O13" s="22">
        <f t="shared" si="0"/>
        <v>0</v>
      </c>
      <c r="V13" s="6" t="s">
        <v>2574</v>
      </c>
      <c r="W13" s="3">
        <v>905979.95</v>
      </c>
      <c r="AC13" s="32" t="s">
        <v>1066</v>
      </c>
      <c r="AD13" s="41">
        <f>SUM(AD9:AD12)</f>
        <v>13583782.090000002</v>
      </c>
    </row>
    <row r="14" spans="1:30">
      <c r="A14" s="35" t="s">
        <v>2565</v>
      </c>
      <c r="B14" s="40" t="s">
        <v>93</v>
      </c>
      <c r="C14" s="37" t="s">
        <v>2568</v>
      </c>
      <c r="D14" s="37" t="s">
        <v>2569</v>
      </c>
      <c r="E14" s="36" t="s">
        <v>33</v>
      </c>
      <c r="F14" s="60">
        <v>44362</v>
      </c>
      <c r="G14" s="60">
        <v>44422</v>
      </c>
      <c r="H14" s="60">
        <v>44494</v>
      </c>
      <c r="I14" s="56">
        <v>510000</v>
      </c>
      <c r="J14" s="30"/>
      <c r="K14" s="30"/>
      <c r="L14" s="31"/>
      <c r="M14" s="26"/>
      <c r="O14" s="22">
        <f t="shared" si="0"/>
        <v>0</v>
      </c>
      <c r="V14" s="6" t="s">
        <v>2578</v>
      </c>
      <c r="W14" s="3">
        <v>782080.44</v>
      </c>
    </row>
    <row r="15" spans="1:30">
      <c r="A15" s="35" t="s">
        <v>2566</v>
      </c>
      <c r="B15" s="40" t="s">
        <v>174</v>
      </c>
      <c r="C15" s="37" t="s">
        <v>2568</v>
      </c>
      <c r="D15" s="37" t="s">
        <v>2569</v>
      </c>
      <c r="E15" s="36" t="s">
        <v>33</v>
      </c>
      <c r="F15" s="60">
        <v>44362</v>
      </c>
      <c r="G15" s="60">
        <v>44422</v>
      </c>
      <c r="H15" s="60">
        <v>44522</v>
      </c>
      <c r="I15" s="56">
        <v>346298.37</v>
      </c>
      <c r="J15" s="30"/>
      <c r="K15" s="30"/>
      <c r="L15" s="31"/>
      <c r="M15" s="26"/>
      <c r="O15" s="22">
        <f t="shared" si="0"/>
        <v>0</v>
      </c>
      <c r="V15" s="6" t="s">
        <v>2581</v>
      </c>
      <c r="W15" s="3">
        <v>1489623</v>
      </c>
    </row>
    <row r="16" spans="1:30">
      <c r="A16" s="35" t="s">
        <v>2567</v>
      </c>
      <c r="B16" s="40" t="s">
        <v>23</v>
      </c>
      <c r="C16" s="37" t="s">
        <v>2568</v>
      </c>
      <c r="D16" s="37" t="s">
        <v>2569</v>
      </c>
      <c r="E16" s="36" t="s">
        <v>33</v>
      </c>
      <c r="F16" s="60">
        <v>44362</v>
      </c>
      <c r="G16" s="60">
        <v>44422</v>
      </c>
      <c r="H16" s="60">
        <v>44494</v>
      </c>
      <c r="I16" s="56">
        <v>90041.65</v>
      </c>
      <c r="J16" s="30">
        <f>SUM(I13:I16)</f>
        <v>966340.02</v>
      </c>
      <c r="K16" s="30">
        <v>721704</v>
      </c>
      <c r="L16" s="53">
        <f>+J16-K16</f>
        <v>244636.02000000002</v>
      </c>
      <c r="M16" s="26"/>
      <c r="O16" s="22">
        <f t="shared" si="0"/>
        <v>244636.02000000002</v>
      </c>
      <c r="V16" s="6" t="s">
        <v>2586</v>
      </c>
      <c r="W16" s="3">
        <v>1015000</v>
      </c>
      <c r="AC16" s="33" t="s">
        <v>1062</v>
      </c>
      <c r="AD16" s="33" t="s">
        <v>2534</v>
      </c>
    </row>
    <row r="17" spans="1:31">
      <c r="A17" s="35" t="s">
        <v>2570</v>
      </c>
      <c r="B17" s="40" t="s">
        <v>93</v>
      </c>
      <c r="C17" s="37" t="s">
        <v>2571</v>
      </c>
      <c r="D17" s="37" t="s">
        <v>2326</v>
      </c>
      <c r="E17" s="36" t="s">
        <v>33</v>
      </c>
      <c r="F17" s="60">
        <v>44426</v>
      </c>
      <c r="G17" s="60">
        <v>44459</v>
      </c>
      <c r="H17" s="60">
        <v>44526</v>
      </c>
      <c r="I17" s="56">
        <v>2010000</v>
      </c>
      <c r="J17" s="30">
        <f>+I17</f>
        <v>2010000</v>
      </c>
      <c r="K17" s="30">
        <v>721704</v>
      </c>
      <c r="L17" s="53">
        <f>+J17-K17</f>
        <v>1288296</v>
      </c>
      <c r="M17" s="26"/>
      <c r="O17" s="22">
        <f t="shared" si="0"/>
        <v>1288296</v>
      </c>
      <c r="V17" s="6" t="s">
        <v>1066</v>
      </c>
      <c r="W17" s="3">
        <v>12599274.809999999</v>
      </c>
      <c r="AC17" s="6" t="s">
        <v>2326</v>
      </c>
      <c r="AD17" s="3">
        <v>11376198.939999999</v>
      </c>
      <c r="AE17" s="7">
        <f>AD17/AD23</f>
        <v>0.8374839101972078</v>
      </c>
    </row>
    <row r="18" spans="1:31">
      <c r="A18" s="35" t="s">
        <v>2700</v>
      </c>
      <c r="B18" s="40" t="s">
        <v>93</v>
      </c>
      <c r="C18" s="37" t="s">
        <v>2703</v>
      </c>
      <c r="D18" s="37" t="s">
        <v>2704</v>
      </c>
      <c r="E18" s="36" t="s">
        <v>33</v>
      </c>
      <c r="F18" s="60">
        <v>44480</v>
      </c>
      <c r="G18" s="60">
        <v>44580</v>
      </c>
      <c r="H18" s="60">
        <v>44649</v>
      </c>
      <c r="I18" s="56">
        <v>2766461.44</v>
      </c>
      <c r="J18" s="30"/>
      <c r="K18" s="30"/>
      <c r="L18" s="31"/>
      <c r="M18" s="26"/>
      <c r="O18" s="22">
        <f t="shared" si="0"/>
        <v>0</v>
      </c>
      <c r="AC18" s="6"/>
      <c r="AD18" s="3"/>
      <c r="AE18" s="7"/>
    </row>
    <row r="19" spans="1:31">
      <c r="A19" s="35" t="s">
        <v>2701</v>
      </c>
      <c r="B19" s="40" t="s">
        <v>30</v>
      </c>
      <c r="C19" s="37" t="s">
        <v>2703</v>
      </c>
      <c r="D19" s="37" t="s">
        <v>2704</v>
      </c>
      <c r="E19" s="36" t="s">
        <v>33</v>
      </c>
      <c r="F19" s="60">
        <v>44480</v>
      </c>
      <c r="G19" s="60">
        <v>44580</v>
      </c>
      <c r="H19" s="60">
        <v>44643</v>
      </c>
      <c r="I19" s="56">
        <v>30000</v>
      </c>
      <c r="J19" s="30"/>
      <c r="K19" s="30"/>
      <c r="L19" s="31"/>
      <c r="M19" s="26"/>
      <c r="O19" s="22">
        <f t="shared" si="0"/>
        <v>0</v>
      </c>
      <c r="AC19" s="6"/>
      <c r="AD19" s="3"/>
      <c r="AE19" s="7"/>
    </row>
    <row r="20" spans="1:31">
      <c r="A20" s="35" t="s">
        <v>2702</v>
      </c>
      <c r="B20" s="40" t="s">
        <v>174</v>
      </c>
      <c r="C20" s="37" t="s">
        <v>2703</v>
      </c>
      <c r="D20" s="37" t="s">
        <v>2704</v>
      </c>
      <c r="E20" s="36" t="s">
        <v>33</v>
      </c>
      <c r="F20" s="60">
        <v>44480</v>
      </c>
      <c r="G20" s="60">
        <v>44580</v>
      </c>
      <c r="H20" s="60">
        <v>44649</v>
      </c>
      <c r="I20" s="56">
        <v>8618473.6799999997</v>
      </c>
      <c r="J20" s="30">
        <f>+I20+I19+I18</f>
        <v>11414935.119999999</v>
      </c>
      <c r="K20" s="30">
        <v>721704</v>
      </c>
      <c r="L20" s="31">
        <f>+J20-K20</f>
        <v>10693231.119999999</v>
      </c>
      <c r="M20" s="26"/>
      <c r="O20" s="22">
        <f t="shared" si="0"/>
        <v>10693231.119999999</v>
      </c>
      <c r="AC20" s="6"/>
      <c r="AD20" s="3"/>
      <c r="AE20" s="7"/>
    </row>
    <row r="21" spans="1:31">
      <c r="A21" s="35" t="s">
        <v>2572</v>
      </c>
      <c r="B21" s="40" t="s">
        <v>174</v>
      </c>
      <c r="C21" s="37" t="s">
        <v>2573</v>
      </c>
      <c r="D21" s="37" t="s">
        <v>2574</v>
      </c>
      <c r="E21" s="36" t="s">
        <v>33</v>
      </c>
      <c r="F21" s="60">
        <v>44380</v>
      </c>
      <c r="G21" s="60">
        <v>44425</v>
      </c>
      <c r="H21" s="60">
        <v>44480</v>
      </c>
      <c r="I21" s="56">
        <v>833316.19</v>
      </c>
      <c r="J21" s="30"/>
      <c r="K21" s="30"/>
      <c r="L21" s="31"/>
      <c r="M21" s="26"/>
      <c r="O21" s="22">
        <f t="shared" si="0"/>
        <v>0</v>
      </c>
      <c r="AC21" s="6" t="s">
        <v>1891</v>
      </c>
      <c r="AD21" s="3">
        <v>1417000</v>
      </c>
      <c r="AE21" s="7">
        <f>AD21/AD23</f>
        <v>0.10431557209999384</v>
      </c>
    </row>
    <row r="22" spans="1:31">
      <c r="A22" s="35" t="s">
        <v>2575</v>
      </c>
      <c r="B22" s="40" t="s">
        <v>23</v>
      </c>
      <c r="C22" s="37" t="s">
        <v>2573</v>
      </c>
      <c r="D22" s="37" t="s">
        <v>2574</v>
      </c>
      <c r="E22" s="36" t="s">
        <v>33</v>
      </c>
      <c r="F22" s="60">
        <v>44380</v>
      </c>
      <c r="G22" s="60">
        <v>44425</v>
      </c>
      <c r="H22" s="60">
        <v>44517</v>
      </c>
      <c r="I22" s="56">
        <v>72663.759999999995</v>
      </c>
      <c r="J22" s="30">
        <f>+I22+I21</f>
        <v>905979.95</v>
      </c>
      <c r="K22" s="30">
        <v>721704</v>
      </c>
      <c r="L22" s="53">
        <f>+J22-K22</f>
        <v>184275.94999999995</v>
      </c>
      <c r="M22" s="26"/>
      <c r="O22" s="22">
        <f t="shared" si="0"/>
        <v>184275.94999999995</v>
      </c>
      <c r="AC22" s="6" t="s">
        <v>38</v>
      </c>
      <c r="AD22" s="3">
        <v>790583.15</v>
      </c>
      <c r="AE22" s="7">
        <f>AD22/AD23</f>
        <v>5.8200517702798341E-2</v>
      </c>
    </row>
    <row r="23" spans="1:31">
      <c r="A23" s="35" t="s">
        <v>2576</v>
      </c>
      <c r="B23" s="40" t="s">
        <v>23</v>
      </c>
      <c r="C23" s="37" t="s">
        <v>2293</v>
      </c>
      <c r="D23" s="37" t="s">
        <v>2578</v>
      </c>
      <c r="E23" s="36" t="s">
        <v>33</v>
      </c>
      <c r="F23" s="60">
        <v>44324</v>
      </c>
      <c r="G23" s="60">
        <v>44336</v>
      </c>
      <c r="H23" s="60">
        <v>44392</v>
      </c>
      <c r="I23" s="56">
        <v>104500</v>
      </c>
      <c r="J23" s="30"/>
      <c r="K23" s="30"/>
      <c r="L23" s="31"/>
      <c r="M23" s="26"/>
      <c r="O23" s="22">
        <f t="shared" si="0"/>
        <v>0</v>
      </c>
      <c r="AC23" s="32" t="s">
        <v>1066</v>
      </c>
      <c r="AD23" s="34">
        <f>SUM(AD17:AD22)</f>
        <v>13583782.09</v>
      </c>
    </row>
    <row r="24" spans="1:31">
      <c r="A24" s="35" t="s">
        <v>2577</v>
      </c>
      <c r="B24" s="40" t="s">
        <v>174</v>
      </c>
      <c r="C24" s="37" t="s">
        <v>2293</v>
      </c>
      <c r="D24" s="37" t="s">
        <v>2578</v>
      </c>
      <c r="E24" s="36" t="s">
        <v>33</v>
      </c>
      <c r="F24" s="60">
        <v>44324</v>
      </c>
      <c r="G24" s="60">
        <v>44392</v>
      </c>
      <c r="H24" s="60">
        <v>44501</v>
      </c>
      <c r="I24" s="56">
        <v>677580.44</v>
      </c>
      <c r="J24" s="30">
        <f>+I24+I23</f>
        <v>782080.44</v>
      </c>
      <c r="K24" s="30">
        <v>721704</v>
      </c>
      <c r="L24" s="53">
        <f>+J24-K24</f>
        <v>60376.439999999944</v>
      </c>
      <c r="M24" s="26"/>
      <c r="O24" s="22">
        <f t="shared" si="0"/>
        <v>60376.439999999944</v>
      </c>
    </row>
    <row r="25" spans="1:31">
      <c r="A25" s="35" t="s">
        <v>2500</v>
      </c>
      <c r="B25" s="40" t="s">
        <v>174</v>
      </c>
      <c r="C25" s="37" t="s">
        <v>2501</v>
      </c>
      <c r="D25" s="37" t="s">
        <v>2326</v>
      </c>
      <c r="E25" s="36" t="s">
        <v>33</v>
      </c>
      <c r="F25" s="60">
        <v>44214</v>
      </c>
      <c r="G25" s="60">
        <v>44279</v>
      </c>
      <c r="H25" s="60">
        <v>44313</v>
      </c>
      <c r="I25" s="56">
        <v>880000</v>
      </c>
      <c r="J25" s="30">
        <f>+I25</f>
        <v>880000</v>
      </c>
      <c r="K25" s="30">
        <v>721704</v>
      </c>
      <c r="L25" s="53">
        <f>+J25-K25</f>
        <v>158296</v>
      </c>
      <c r="M25" s="26"/>
      <c r="O25" s="22">
        <f t="shared" si="0"/>
        <v>158296</v>
      </c>
    </row>
    <row r="26" spans="1:31">
      <c r="A26" s="35" t="s">
        <v>2579</v>
      </c>
      <c r="B26" s="40" t="s">
        <v>174</v>
      </c>
      <c r="C26" s="37" t="s">
        <v>2580</v>
      </c>
      <c r="D26" s="37" t="s">
        <v>2581</v>
      </c>
      <c r="E26" s="36" t="s">
        <v>33</v>
      </c>
      <c r="F26" s="60">
        <v>44350</v>
      </c>
      <c r="G26" s="60">
        <v>44424</v>
      </c>
      <c r="H26" s="60">
        <v>44558</v>
      </c>
      <c r="I26" s="56">
        <v>1489623</v>
      </c>
      <c r="J26" s="30">
        <f>+I26</f>
        <v>1489623</v>
      </c>
      <c r="K26" s="30">
        <v>721704</v>
      </c>
      <c r="L26" s="53">
        <f>+J26-K26</f>
        <v>767919</v>
      </c>
      <c r="M26" s="26"/>
      <c r="O26" s="22">
        <f t="shared" si="0"/>
        <v>767919</v>
      </c>
    </row>
    <row r="27" spans="1:31">
      <c r="A27" s="35" t="s">
        <v>2683</v>
      </c>
      <c r="B27" s="40" t="s">
        <v>174</v>
      </c>
      <c r="C27" s="37" t="s">
        <v>2685</v>
      </c>
      <c r="D27" s="37" t="s">
        <v>2334</v>
      </c>
      <c r="E27" s="36" t="s">
        <v>33</v>
      </c>
      <c r="F27" s="60">
        <v>44487</v>
      </c>
      <c r="G27" s="60">
        <v>44531</v>
      </c>
      <c r="H27" s="60">
        <v>44592</v>
      </c>
      <c r="I27" s="56">
        <v>989548.88</v>
      </c>
      <c r="J27" s="30"/>
      <c r="K27" s="30"/>
      <c r="L27" s="31"/>
      <c r="M27" s="26"/>
      <c r="O27" s="22">
        <f t="shared" si="0"/>
        <v>0</v>
      </c>
    </row>
    <row r="28" spans="1:31">
      <c r="A28" s="35" t="s">
        <v>2684</v>
      </c>
      <c r="B28" s="40" t="s">
        <v>23</v>
      </c>
      <c r="C28" s="37" t="s">
        <v>2685</v>
      </c>
      <c r="D28" s="37" t="s">
        <v>2334</v>
      </c>
      <c r="E28" s="36" t="s">
        <v>33</v>
      </c>
      <c r="F28" s="60">
        <v>44487</v>
      </c>
      <c r="G28" s="60">
        <v>44531</v>
      </c>
      <c r="H28" s="60">
        <v>44581</v>
      </c>
      <c r="I28" s="56">
        <v>79814.52</v>
      </c>
      <c r="J28" s="30">
        <f>+I28+I27</f>
        <v>1069363.3999999999</v>
      </c>
      <c r="K28" s="30">
        <v>721704</v>
      </c>
      <c r="L28" s="31">
        <f>+J28-K28</f>
        <v>347659.39999999991</v>
      </c>
      <c r="M28" s="26"/>
      <c r="O28" s="22">
        <f t="shared" si="0"/>
        <v>347659.39999999991</v>
      </c>
    </row>
    <row r="29" spans="1:31">
      <c r="A29" s="35" t="s">
        <v>2713</v>
      </c>
      <c r="B29" s="40" t="s">
        <v>174</v>
      </c>
      <c r="C29" s="37" t="s">
        <v>2717</v>
      </c>
      <c r="D29" s="37" t="s">
        <v>38</v>
      </c>
      <c r="E29" s="36" t="s">
        <v>33</v>
      </c>
      <c r="F29" s="60">
        <v>44548</v>
      </c>
      <c r="G29" s="60">
        <v>44722</v>
      </c>
      <c r="H29" s="60">
        <v>44736</v>
      </c>
      <c r="I29" s="56">
        <v>180000</v>
      </c>
      <c r="J29" s="30"/>
      <c r="K29" s="30"/>
      <c r="L29" s="31"/>
      <c r="M29" s="26"/>
      <c r="O29" s="22">
        <f t="shared" si="0"/>
        <v>0</v>
      </c>
    </row>
    <row r="30" spans="1:31">
      <c r="A30" s="35" t="s">
        <v>2714</v>
      </c>
      <c r="B30" s="40" t="s">
        <v>174</v>
      </c>
      <c r="C30" s="37" t="s">
        <v>2717</v>
      </c>
      <c r="D30" s="37" t="s">
        <v>38</v>
      </c>
      <c r="E30" s="36" t="s">
        <v>33</v>
      </c>
      <c r="F30" s="60">
        <v>44548</v>
      </c>
      <c r="G30" s="60">
        <v>44722</v>
      </c>
      <c r="H30" s="60">
        <v>44736</v>
      </c>
      <c r="I30" s="56">
        <v>30500</v>
      </c>
      <c r="J30" s="30"/>
      <c r="K30" s="30"/>
      <c r="L30" s="31"/>
      <c r="M30" s="26"/>
      <c r="O30" s="22">
        <f t="shared" si="0"/>
        <v>0</v>
      </c>
    </row>
    <row r="31" spans="1:31">
      <c r="A31" s="35" t="s">
        <v>2715</v>
      </c>
      <c r="B31" s="40" t="s">
        <v>174</v>
      </c>
      <c r="C31" s="37" t="s">
        <v>2717</v>
      </c>
      <c r="D31" s="37" t="s">
        <v>38</v>
      </c>
      <c r="E31" s="36" t="s">
        <v>33</v>
      </c>
      <c r="F31" s="60">
        <v>44548</v>
      </c>
      <c r="G31" s="60">
        <v>44644</v>
      </c>
      <c r="H31" s="60">
        <v>44659</v>
      </c>
      <c r="I31" s="56">
        <v>810100</v>
      </c>
      <c r="J31" s="30"/>
      <c r="K31" s="30"/>
      <c r="L31" s="31"/>
      <c r="M31" s="26"/>
      <c r="O31" s="22">
        <f t="shared" si="0"/>
        <v>0</v>
      </c>
    </row>
    <row r="32" spans="1:31">
      <c r="A32" s="35" t="s">
        <v>2716</v>
      </c>
      <c r="B32" s="40" t="s">
        <v>23</v>
      </c>
      <c r="C32" s="37" t="s">
        <v>2717</v>
      </c>
      <c r="D32" s="37" t="s">
        <v>38</v>
      </c>
      <c r="E32" s="36" t="s">
        <v>33</v>
      </c>
      <c r="F32" s="60">
        <v>44548</v>
      </c>
      <c r="G32" s="60">
        <v>44644</v>
      </c>
      <c r="H32" s="60">
        <v>44659</v>
      </c>
      <c r="I32" s="56">
        <v>160500</v>
      </c>
      <c r="J32" s="30">
        <f>+I32+I31+I30+I29</f>
        <v>1181100</v>
      </c>
      <c r="K32" s="30">
        <v>721704</v>
      </c>
      <c r="L32" s="31">
        <f>+J32-K32</f>
        <v>459396</v>
      </c>
      <c r="M32" s="26"/>
      <c r="O32" s="22">
        <f t="shared" si="0"/>
        <v>459396</v>
      </c>
    </row>
    <row r="33" spans="1:15">
      <c r="A33" s="35" t="s">
        <v>2502</v>
      </c>
      <c r="B33" s="40" t="s">
        <v>174</v>
      </c>
      <c r="C33" s="37" t="s">
        <v>2503</v>
      </c>
      <c r="D33" s="37" t="s">
        <v>2326</v>
      </c>
      <c r="E33" s="36" t="s">
        <v>33</v>
      </c>
      <c r="F33" s="60">
        <v>44213</v>
      </c>
      <c r="G33" s="60">
        <v>44228</v>
      </c>
      <c r="H33" s="60">
        <v>44314</v>
      </c>
      <c r="I33" s="56">
        <v>830820.96</v>
      </c>
      <c r="J33" s="30">
        <f>+I33</f>
        <v>830820.96</v>
      </c>
      <c r="K33" s="30">
        <v>721704</v>
      </c>
      <c r="L33" s="53">
        <f>+J33-K33</f>
        <v>109116.95999999996</v>
      </c>
      <c r="M33" s="26"/>
      <c r="O33" s="22">
        <f t="shared" si="0"/>
        <v>109116.95999999996</v>
      </c>
    </row>
    <row r="34" spans="1:15">
      <c r="A34" s="35" t="s">
        <v>2504</v>
      </c>
      <c r="B34" s="40" t="s">
        <v>174</v>
      </c>
      <c r="C34" s="37" t="s">
        <v>2505</v>
      </c>
      <c r="D34" s="37" t="s">
        <v>2326</v>
      </c>
      <c r="E34" s="36" t="s">
        <v>33</v>
      </c>
      <c r="F34" s="60">
        <v>44281</v>
      </c>
      <c r="G34" s="60">
        <v>44307</v>
      </c>
      <c r="H34" s="60">
        <v>44344</v>
      </c>
      <c r="I34" s="56">
        <v>1079430.44</v>
      </c>
      <c r="J34" s="30"/>
      <c r="K34" s="30"/>
      <c r="L34" s="31"/>
      <c r="M34" s="26"/>
      <c r="O34" s="22">
        <f t="shared" si="0"/>
        <v>0</v>
      </c>
    </row>
    <row r="35" spans="1:15">
      <c r="A35" s="35" t="s">
        <v>2506</v>
      </c>
      <c r="B35" s="40" t="s">
        <v>23</v>
      </c>
      <c r="C35" s="37" t="s">
        <v>2505</v>
      </c>
      <c r="D35" s="37" t="s">
        <v>2326</v>
      </c>
      <c r="E35" s="36" t="s">
        <v>33</v>
      </c>
      <c r="F35" s="60">
        <v>44281</v>
      </c>
      <c r="G35" s="60">
        <v>44307</v>
      </c>
      <c r="H35" s="60">
        <v>44344</v>
      </c>
      <c r="I35" s="56">
        <v>87500</v>
      </c>
      <c r="J35" s="30">
        <f>+I35+I34</f>
        <v>1166930.44</v>
      </c>
      <c r="K35" s="30">
        <v>721704</v>
      </c>
      <c r="L35" s="53">
        <f>+J35-K35</f>
        <v>445226.43999999994</v>
      </c>
      <c r="M35" s="26"/>
      <c r="O35" s="22">
        <f t="shared" si="0"/>
        <v>445226.43999999994</v>
      </c>
    </row>
    <row r="36" spans="1:15">
      <c r="A36" s="35" t="s">
        <v>2582</v>
      </c>
      <c r="B36" s="40" t="s">
        <v>93</v>
      </c>
      <c r="C36" s="37" t="s">
        <v>2585</v>
      </c>
      <c r="D36" s="37" t="s">
        <v>2586</v>
      </c>
      <c r="E36" s="36" t="s">
        <v>33</v>
      </c>
      <c r="F36" s="60">
        <v>44220</v>
      </c>
      <c r="G36" s="60">
        <v>44420</v>
      </c>
      <c r="H36" s="60">
        <v>44473</v>
      </c>
      <c r="I36" s="56">
        <v>1015000</v>
      </c>
      <c r="J36" s="30"/>
      <c r="K36" s="30"/>
      <c r="L36" s="31"/>
      <c r="M36" s="26"/>
      <c r="O36" s="22">
        <f t="shared" si="0"/>
        <v>0</v>
      </c>
    </row>
    <row r="37" spans="1:15">
      <c r="A37" s="42" t="s">
        <v>2583</v>
      </c>
      <c r="B37" s="43" t="s">
        <v>1917</v>
      </c>
      <c r="C37" s="44" t="s">
        <v>2585</v>
      </c>
      <c r="D37" s="44" t="s">
        <v>2586</v>
      </c>
      <c r="E37" s="36" t="s">
        <v>33</v>
      </c>
      <c r="F37" s="60">
        <v>44220</v>
      </c>
      <c r="G37" s="60">
        <v>44420</v>
      </c>
      <c r="H37" s="60">
        <v>44473</v>
      </c>
      <c r="I37" s="46">
        <v>50000</v>
      </c>
      <c r="J37" s="30"/>
      <c r="K37" s="30"/>
      <c r="L37" s="31"/>
      <c r="M37" s="26"/>
      <c r="O37" s="22">
        <f t="shared" si="0"/>
        <v>0</v>
      </c>
    </row>
    <row r="38" spans="1:15">
      <c r="A38" s="42" t="s">
        <v>2584</v>
      </c>
      <c r="B38" s="43" t="s">
        <v>23</v>
      </c>
      <c r="C38" s="44" t="s">
        <v>2585</v>
      </c>
      <c r="D38" s="44" t="s">
        <v>2586</v>
      </c>
      <c r="E38" s="36" t="s">
        <v>33</v>
      </c>
      <c r="F38" s="60">
        <v>44220</v>
      </c>
      <c r="G38" s="60">
        <v>44420</v>
      </c>
      <c r="H38" s="60">
        <v>44473</v>
      </c>
      <c r="I38" s="46">
        <v>110000</v>
      </c>
      <c r="J38" s="30"/>
      <c r="K38" s="30"/>
      <c r="L38" s="31"/>
      <c r="M38" s="26"/>
      <c r="O38" s="22">
        <f t="shared" si="0"/>
        <v>0</v>
      </c>
    </row>
    <row r="39" spans="1:15">
      <c r="A39" s="42" t="s">
        <v>2587</v>
      </c>
      <c r="B39" s="43" t="s">
        <v>174</v>
      </c>
      <c r="C39" s="44" t="s">
        <v>2585</v>
      </c>
      <c r="D39" s="44" t="s">
        <v>2586</v>
      </c>
      <c r="E39" s="36" t="s">
        <v>33</v>
      </c>
      <c r="F39" s="60">
        <v>44220</v>
      </c>
      <c r="G39" s="60">
        <v>44420</v>
      </c>
      <c r="H39" s="60">
        <v>44512</v>
      </c>
      <c r="I39" s="46">
        <v>320000</v>
      </c>
      <c r="J39" s="30">
        <f>SUM(I36:I39)</f>
        <v>1495000</v>
      </c>
      <c r="K39" s="30">
        <v>721704</v>
      </c>
      <c r="L39" s="53">
        <f>+J39-K39</f>
        <v>773296</v>
      </c>
      <c r="M39" s="26"/>
      <c r="O39" s="22">
        <f t="shared" si="0"/>
        <v>773296</v>
      </c>
    </row>
    <row r="40" spans="1:15">
      <c r="A40" s="42" t="s">
        <v>2710</v>
      </c>
      <c r="B40" s="43" t="s">
        <v>93</v>
      </c>
      <c r="C40" s="44" t="s">
        <v>2711</v>
      </c>
      <c r="D40" s="44" t="s">
        <v>2712</v>
      </c>
      <c r="E40" s="36" t="s">
        <v>26</v>
      </c>
      <c r="F40" s="60">
        <v>44532</v>
      </c>
      <c r="G40" s="60">
        <v>44704</v>
      </c>
      <c r="H40" s="60">
        <v>44728</v>
      </c>
      <c r="I40" s="46">
        <v>1197000</v>
      </c>
      <c r="J40" s="30">
        <f>+I40</f>
        <v>1197000</v>
      </c>
      <c r="K40" s="30">
        <v>721704</v>
      </c>
      <c r="L40" s="31">
        <f>+J40-K40</f>
        <v>475296</v>
      </c>
      <c r="M40" s="26"/>
      <c r="O40" s="22">
        <f t="shared" si="0"/>
        <v>475296</v>
      </c>
    </row>
    <row r="41" spans="1:15">
      <c r="A41" s="42" t="s">
        <v>2588</v>
      </c>
      <c r="B41" s="43" t="s">
        <v>174</v>
      </c>
      <c r="C41" s="44" t="s">
        <v>2590</v>
      </c>
      <c r="D41" s="44" t="s">
        <v>2591</v>
      </c>
      <c r="E41" s="36" t="s">
        <v>33</v>
      </c>
      <c r="F41" s="60">
        <v>44242</v>
      </c>
      <c r="G41" s="60">
        <v>44323</v>
      </c>
      <c r="H41" s="60">
        <v>44376</v>
      </c>
      <c r="I41" s="46">
        <v>605688.92000000004</v>
      </c>
      <c r="J41" s="30"/>
      <c r="K41" s="30"/>
      <c r="L41" s="31"/>
      <c r="M41" s="26"/>
      <c r="O41" s="22">
        <f t="shared" si="0"/>
        <v>0</v>
      </c>
    </row>
    <row r="42" spans="1:15">
      <c r="A42" s="42" t="s">
        <v>2589</v>
      </c>
      <c r="B42" s="43" t="s">
        <v>23</v>
      </c>
      <c r="C42" s="44" t="s">
        <v>2590</v>
      </c>
      <c r="D42" s="44" t="s">
        <v>2591</v>
      </c>
      <c r="E42" s="36" t="s">
        <v>33</v>
      </c>
      <c r="F42" s="60">
        <v>44242</v>
      </c>
      <c r="G42" s="60">
        <v>44323</v>
      </c>
      <c r="H42" s="60">
        <v>44371</v>
      </c>
      <c r="I42" s="46">
        <v>248919.45</v>
      </c>
      <c r="J42" s="30"/>
      <c r="K42" s="30"/>
      <c r="L42" s="31"/>
      <c r="M42" s="26"/>
      <c r="O42" s="22">
        <f t="shared" si="0"/>
        <v>0</v>
      </c>
    </row>
    <row r="43" spans="1:15">
      <c r="A43" s="42" t="s">
        <v>2588</v>
      </c>
      <c r="B43" s="43" t="s">
        <v>174</v>
      </c>
      <c r="C43" s="44" t="s">
        <v>2590</v>
      </c>
      <c r="D43" s="44" t="s">
        <v>2591</v>
      </c>
      <c r="E43" s="36" t="s">
        <v>33</v>
      </c>
      <c r="F43" s="60">
        <v>44242</v>
      </c>
      <c r="G43" s="60">
        <v>44323</v>
      </c>
      <c r="H43" s="60">
        <v>44376</v>
      </c>
      <c r="I43" s="46">
        <v>50415.76</v>
      </c>
      <c r="J43" s="30">
        <f>+I43+I42+I41</f>
        <v>905024.13000000012</v>
      </c>
      <c r="K43" s="30">
        <v>721704</v>
      </c>
      <c r="L43" s="53">
        <f>+J43-K43</f>
        <v>183320.13000000012</v>
      </c>
      <c r="M43" s="26"/>
      <c r="O43" s="22">
        <f t="shared" si="0"/>
        <v>183320.13000000012</v>
      </c>
    </row>
    <row r="44" spans="1:15">
      <c r="A44" s="42" t="s">
        <v>2705</v>
      </c>
      <c r="B44" s="43" t="s">
        <v>174</v>
      </c>
      <c r="C44" s="44" t="s">
        <v>2706</v>
      </c>
      <c r="D44" s="44" t="s">
        <v>2326</v>
      </c>
      <c r="E44" s="36" t="s">
        <v>33</v>
      </c>
      <c r="F44" s="60">
        <v>44385</v>
      </c>
      <c r="G44" s="60">
        <v>44421</v>
      </c>
      <c r="H44" s="60">
        <v>44650</v>
      </c>
      <c r="I44" s="46">
        <v>1447086.31</v>
      </c>
      <c r="J44" s="30">
        <f>+I44</f>
        <v>1447086.31</v>
      </c>
      <c r="K44" s="30">
        <v>721704</v>
      </c>
      <c r="L44" s="53">
        <f>+J44-K44</f>
        <v>725382.31</v>
      </c>
      <c r="M44" s="26"/>
      <c r="O44" s="22">
        <f t="shared" si="0"/>
        <v>725382.31</v>
      </c>
    </row>
    <row r="45" spans="1:15">
      <c r="A45" s="42" t="s">
        <v>2507</v>
      </c>
      <c r="B45" s="43" t="s">
        <v>174</v>
      </c>
      <c r="C45" s="44" t="s">
        <v>2508</v>
      </c>
      <c r="D45" s="44" t="s">
        <v>2326</v>
      </c>
      <c r="E45" s="36" t="s">
        <v>33</v>
      </c>
      <c r="F45" s="60">
        <v>44293</v>
      </c>
      <c r="G45" s="60">
        <v>44327</v>
      </c>
      <c r="H45" s="60">
        <v>44371</v>
      </c>
      <c r="I45" s="46">
        <v>1826151.12</v>
      </c>
      <c r="J45" s="30"/>
      <c r="K45" s="30"/>
      <c r="L45" s="31"/>
      <c r="M45" s="26"/>
      <c r="O45" s="22">
        <f t="shared" si="0"/>
        <v>0</v>
      </c>
    </row>
    <row r="46" spans="1:15">
      <c r="A46" s="42" t="s">
        <v>2509</v>
      </c>
      <c r="B46" s="43" t="s">
        <v>23</v>
      </c>
      <c r="C46" s="44" t="s">
        <v>2508</v>
      </c>
      <c r="D46" s="44" t="s">
        <v>2326</v>
      </c>
      <c r="E46" s="36" t="s">
        <v>33</v>
      </c>
      <c r="F46" s="60">
        <v>44293</v>
      </c>
      <c r="G46" s="60">
        <v>44327</v>
      </c>
      <c r="H46" s="60">
        <v>44361</v>
      </c>
      <c r="I46" s="46">
        <v>12355.98</v>
      </c>
      <c r="J46" s="30"/>
      <c r="K46" s="30"/>
      <c r="L46" s="31"/>
      <c r="M46" s="26"/>
      <c r="O46" s="22">
        <f t="shared" si="0"/>
        <v>0</v>
      </c>
    </row>
    <row r="47" spans="1:15">
      <c r="A47" s="42" t="s">
        <v>2592</v>
      </c>
      <c r="B47" s="43" t="s">
        <v>23</v>
      </c>
      <c r="C47" s="44" t="s">
        <v>2508</v>
      </c>
      <c r="D47" s="44" t="s">
        <v>2574</v>
      </c>
      <c r="E47" s="36" t="s">
        <v>33</v>
      </c>
      <c r="F47" s="60">
        <v>44293</v>
      </c>
      <c r="G47" s="60">
        <v>44336</v>
      </c>
      <c r="H47" s="60">
        <v>44393</v>
      </c>
      <c r="I47" s="46">
        <v>34143.61</v>
      </c>
      <c r="J47" s="30"/>
      <c r="K47" s="30"/>
      <c r="L47" s="31"/>
      <c r="M47" s="26"/>
      <c r="O47" s="22">
        <f t="shared" si="0"/>
        <v>0</v>
      </c>
    </row>
    <row r="48" spans="1:15">
      <c r="A48" s="42" t="s">
        <v>2593</v>
      </c>
      <c r="B48" s="43" t="s">
        <v>174</v>
      </c>
      <c r="C48" s="44" t="s">
        <v>2508</v>
      </c>
      <c r="D48" s="44" t="s">
        <v>2574</v>
      </c>
      <c r="E48" s="36" t="s">
        <v>33</v>
      </c>
      <c r="F48" s="60">
        <v>44293</v>
      </c>
      <c r="G48" s="60">
        <v>44336</v>
      </c>
      <c r="H48" s="60">
        <v>44482</v>
      </c>
      <c r="I48" s="46">
        <v>1220000</v>
      </c>
      <c r="J48" s="30">
        <f>SUM(I45:I48)</f>
        <v>3092650.71</v>
      </c>
      <c r="K48" s="30">
        <v>721704</v>
      </c>
      <c r="L48" s="53">
        <f>+J48-K48</f>
        <v>2370946.71</v>
      </c>
      <c r="M48" s="26"/>
      <c r="O48" s="22">
        <f t="shared" si="0"/>
        <v>2370946.71</v>
      </c>
    </row>
    <row r="49" spans="1:15">
      <c r="A49" s="42" t="s">
        <v>2510</v>
      </c>
      <c r="B49" s="43" t="s">
        <v>174</v>
      </c>
      <c r="C49" s="44" t="s">
        <v>2511</v>
      </c>
      <c r="D49" s="44" t="s">
        <v>38</v>
      </c>
      <c r="E49" s="36" t="s">
        <v>33</v>
      </c>
      <c r="F49" s="60">
        <v>44262</v>
      </c>
      <c r="G49" s="60">
        <v>44294</v>
      </c>
      <c r="H49" s="60">
        <v>44368</v>
      </c>
      <c r="I49" s="46">
        <v>790583.15</v>
      </c>
      <c r="J49" s="30">
        <f>+I49</f>
        <v>790583.15</v>
      </c>
      <c r="K49" s="30">
        <v>721704</v>
      </c>
      <c r="L49" s="53">
        <f>+J49-K49</f>
        <v>68879.150000000023</v>
      </c>
      <c r="M49" s="26"/>
      <c r="O49" s="22">
        <f t="shared" si="0"/>
        <v>68879.150000000023</v>
      </c>
    </row>
    <row r="50" spans="1:15">
      <c r="A50" s="42" t="s">
        <v>2512</v>
      </c>
      <c r="B50" s="43" t="s">
        <v>174</v>
      </c>
      <c r="C50" s="44" t="s">
        <v>2513</v>
      </c>
      <c r="D50" s="44" t="s">
        <v>2326</v>
      </c>
      <c r="E50" s="36" t="s">
        <v>33</v>
      </c>
      <c r="F50" s="60">
        <v>44202</v>
      </c>
      <c r="G50" s="60">
        <v>44264</v>
      </c>
      <c r="H50" s="60">
        <v>44285</v>
      </c>
      <c r="I50" s="46">
        <v>1084496.8</v>
      </c>
      <c r="J50" s="30">
        <f>I50</f>
        <v>1084496.8</v>
      </c>
      <c r="K50" s="30">
        <v>721704</v>
      </c>
      <c r="L50" s="53">
        <f>+J50-K50</f>
        <v>362792.80000000005</v>
      </c>
      <c r="M50" s="26"/>
      <c r="O50" s="22">
        <f t="shared" si="0"/>
        <v>362792.80000000005</v>
      </c>
    </row>
    <row r="51" spans="1:15">
      <c r="A51" s="42" t="s">
        <v>2594</v>
      </c>
      <c r="B51" s="43" t="s">
        <v>23</v>
      </c>
      <c r="C51" s="44" t="s">
        <v>2596</v>
      </c>
      <c r="D51" s="44" t="s">
        <v>54</v>
      </c>
      <c r="E51" s="36" t="s">
        <v>33</v>
      </c>
      <c r="F51" s="60">
        <v>44261</v>
      </c>
      <c r="G51" s="60">
        <v>44313</v>
      </c>
      <c r="H51" s="60">
        <v>44370</v>
      </c>
      <c r="I51" s="46">
        <v>9060.32</v>
      </c>
      <c r="J51" s="30"/>
      <c r="K51" s="30"/>
      <c r="L51" s="31"/>
      <c r="M51" s="26"/>
      <c r="O51" s="22">
        <f t="shared" si="0"/>
        <v>0</v>
      </c>
    </row>
    <row r="52" spans="1:15">
      <c r="A52" s="42" t="s">
        <v>2595</v>
      </c>
      <c r="B52" s="43" t="s">
        <v>174</v>
      </c>
      <c r="C52" s="44" t="s">
        <v>2596</v>
      </c>
      <c r="D52" s="44" t="s">
        <v>54</v>
      </c>
      <c r="E52" s="36" t="s">
        <v>33</v>
      </c>
      <c r="F52" s="60">
        <v>44261</v>
      </c>
      <c r="G52" s="60">
        <v>44340</v>
      </c>
      <c r="H52" s="60">
        <v>44445</v>
      </c>
      <c r="I52" s="46">
        <v>921786.29</v>
      </c>
      <c r="J52" s="30">
        <f>+I52+I51</f>
        <v>930846.61</v>
      </c>
      <c r="K52" s="30">
        <v>721704</v>
      </c>
      <c r="L52" s="53">
        <f>+J52-K52</f>
        <v>209142.61</v>
      </c>
      <c r="M52" s="26"/>
      <c r="O52" s="22">
        <f t="shared" si="0"/>
        <v>209142.61</v>
      </c>
    </row>
    <row r="53" spans="1:15">
      <c r="A53" s="42" t="s">
        <v>2514</v>
      </c>
      <c r="B53" s="43" t="s">
        <v>36</v>
      </c>
      <c r="C53" s="44" t="s">
        <v>2515</v>
      </c>
      <c r="D53" s="44" t="s">
        <v>2326</v>
      </c>
      <c r="E53" s="36" t="s">
        <v>33</v>
      </c>
      <c r="F53" s="60">
        <v>44237</v>
      </c>
      <c r="G53" s="60">
        <v>44281</v>
      </c>
      <c r="H53" s="60">
        <v>44376</v>
      </c>
      <c r="I53" s="46">
        <v>1979372.83</v>
      </c>
      <c r="J53" s="30">
        <f>+I53</f>
        <v>1979372.83</v>
      </c>
      <c r="K53" s="30">
        <v>721704</v>
      </c>
      <c r="L53" s="53">
        <f>+J53-K53</f>
        <v>1257668.83</v>
      </c>
      <c r="M53" s="26"/>
      <c r="O53" s="22">
        <f t="shared" si="0"/>
        <v>1257668.83</v>
      </c>
    </row>
    <row r="54" spans="1:15">
      <c r="A54" s="42" t="s">
        <v>2597</v>
      </c>
      <c r="B54" s="43" t="s">
        <v>23</v>
      </c>
      <c r="C54" s="44" t="s">
        <v>2600</v>
      </c>
      <c r="D54" s="44" t="s">
        <v>2326</v>
      </c>
      <c r="E54" s="36" t="s">
        <v>33</v>
      </c>
      <c r="F54" s="60">
        <v>44380</v>
      </c>
      <c r="G54" s="60">
        <v>44399</v>
      </c>
      <c r="H54" s="60">
        <v>44452</v>
      </c>
      <c r="I54" s="46">
        <v>7700</v>
      </c>
      <c r="J54" s="30"/>
      <c r="K54" s="30"/>
      <c r="L54" s="31"/>
      <c r="M54" s="26"/>
      <c r="O54" s="22">
        <f t="shared" si="0"/>
        <v>0</v>
      </c>
    </row>
    <row r="55" spans="1:15">
      <c r="A55" s="42" t="s">
        <v>2598</v>
      </c>
      <c r="B55" s="43" t="s">
        <v>174</v>
      </c>
      <c r="C55" s="44" t="s">
        <v>2600</v>
      </c>
      <c r="D55" s="44" t="s">
        <v>2326</v>
      </c>
      <c r="E55" s="36" t="s">
        <v>33</v>
      </c>
      <c r="F55" s="60">
        <v>44380</v>
      </c>
      <c r="G55" s="60">
        <v>44474</v>
      </c>
      <c r="H55" s="60">
        <v>44531</v>
      </c>
      <c r="I55" s="46">
        <v>785000</v>
      </c>
      <c r="J55" s="30"/>
      <c r="K55" s="30"/>
      <c r="L55" s="31"/>
      <c r="M55" s="26"/>
      <c r="O55" s="22">
        <f t="shared" si="0"/>
        <v>0</v>
      </c>
    </row>
    <row r="56" spans="1:15">
      <c r="A56" s="42" t="s">
        <v>2599</v>
      </c>
      <c r="B56" s="43" t="s">
        <v>23</v>
      </c>
      <c r="C56" s="44" t="s">
        <v>2600</v>
      </c>
      <c r="D56" s="44" t="s">
        <v>2326</v>
      </c>
      <c r="E56" s="36" t="s">
        <v>33</v>
      </c>
      <c r="F56" s="60">
        <v>44380</v>
      </c>
      <c r="G56" s="60">
        <v>44474</v>
      </c>
      <c r="H56" s="60">
        <v>44531</v>
      </c>
      <c r="I56" s="46">
        <v>90000</v>
      </c>
      <c r="J56" s="30">
        <f>+I56+I55+I54</f>
        <v>882700</v>
      </c>
      <c r="K56" s="30">
        <v>721704</v>
      </c>
      <c r="L56" s="53">
        <f>+J56-K56</f>
        <v>160996</v>
      </c>
      <c r="M56" s="26"/>
      <c r="O56" s="22">
        <f t="shared" si="0"/>
        <v>160996</v>
      </c>
    </row>
    <row r="57" spans="1:15">
      <c r="A57" s="42" t="s">
        <v>2601</v>
      </c>
      <c r="B57" s="43" t="s">
        <v>174</v>
      </c>
      <c r="C57" s="44" t="s">
        <v>2604</v>
      </c>
      <c r="D57" s="44" t="s">
        <v>2605</v>
      </c>
      <c r="E57" s="36" t="s">
        <v>33</v>
      </c>
      <c r="F57" s="60">
        <v>44276</v>
      </c>
      <c r="G57" s="60">
        <v>44421</v>
      </c>
      <c r="H57" s="60">
        <v>44495</v>
      </c>
      <c r="I57" s="46">
        <v>155000</v>
      </c>
      <c r="J57" s="30"/>
      <c r="K57" s="30"/>
      <c r="L57" s="31"/>
      <c r="M57" s="26"/>
      <c r="O57" s="22">
        <f t="shared" si="0"/>
        <v>0</v>
      </c>
    </row>
    <row r="58" spans="1:15">
      <c r="A58" s="42" t="s">
        <v>2602</v>
      </c>
      <c r="B58" s="43" t="s">
        <v>174</v>
      </c>
      <c r="C58" s="44" t="s">
        <v>2604</v>
      </c>
      <c r="D58" s="44" t="s">
        <v>2605</v>
      </c>
      <c r="E58" s="36" t="s">
        <v>33</v>
      </c>
      <c r="F58" s="60">
        <v>44276</v>
      </c>
      <c r="G58" s="60">
        <v>44411</v>
      </c>
      <c r="H58" s="60">
        <v>44487</v>
      </c>
      <c r="I58" s="46">
        <v>621000</v>
      </c>
      <c r="J58" s="30"/>
      <c r="K58" s="30"/>
      <c r="L58" s="31"/>
      <c r="M58" s="26"/>
      <c r="O58" s="22">
        <f t="shared" si="0"/>
        <v>0</v>
      </c>
    </row>
    <row r="59" spans="1:15">
      <c r="A59" s="42" t="s">
        <v>2603</v>
      </c>
      <c r="B59" s="43" t="s">
        <v>23</v>
      </c>
      <c r="C59" s="44" t="s">
        <v>2604</v>
      </c>
      <c r="D59" s="44" t="s">
        <v>2605</v>
      </c>
      <c r="E59" s="36" t="s">
        <v>33</v>
      </c>
      <c r="F59" s="60">
        <v>44276</v>
      </c>
      <c r="G59" s="60">
        <v>44411</v>
      </c>
      <c r="H59" s="60">
        <v>44470</v>
      </c>
      <c r="I59" s="46">
        <v>165000</v>
      </c>
      <c r="J59" s="30">
        <f>+I59+I58+I57</f>
        <v>941000</v>
      </c>
      <c r="K59" s="30">
        <v>721704</v>
      </c>
      <c r="L59" s="53">
        <f>+J59-K59</f>
        <v>219296</v>
      </c>
      <c r="M59" s="26"/>
      <c r="O59" s="22">
        <f t="shared" si="0"/>
        <v>219296</v>
      </c>
    </row>
    <row r="60" spans="1:15">
      <c r="A60" s="42" t="s">
        <v>2606</v>
      </c>
      <c r="B60" s="43" t="s">
        <v>174</v>
      </c>
      <c r="C60" s="44" t="s">
        <v>2608</v>
      </c>
      <c r="D60" s="44" t="s">
        <v>2609</v>
      </c>
      <c r="E60" s="36" t="s">
        <v>33</v>
      </c>
      <c r="F60" s="60">
        <v>44208</v>
      </c>
      <c r="G60" s="60">
        <v>44221</v>
      </c>
      <c r="H60" s="60">
        <v>44403</v>
      </c>
      <c r="I60" s="46">
        <v>643000</v>
      </c>
      <c r="J60" s="30"/>
      <c r="K60" s="30"/>
      <c r="L60" s="31"/>
      <c r="M60" s="26"/>
      <c r="O60" s="22">
        <f t="shared" si="0"/>
        <v>0</v>
      </c>
    </row>
    <row r="61" spans="1:15">
      <c r="A61" s="42" t="s">
        <v>2607</v>
      </c>
      <c r="B61" s="43" t="s">
        <v>23</v>
      </c>
      <c r="C61" s="44" t="s">
        <v>2608</v>
      </c>
      <c r="D61" s="44" t="s">
        <v>2609</v>
      </c>
      <c r="E61" s="36" t="s">
        <v>33</v>
      </c>
      <c r="F61" s="60">
        <v>44208</v>
      </c>
      <c r="G61" s="60">
        <v>44221</v>
      </c>
      <c r="H61" s="60">
        <v>44253</v>
      </c>
      <c r="I61" s="46">
        <v>114207.76</v>
      </c>
      <c r="J61" s="30">
        <f>+I61+I60</f>
        <v>757207.76</v>
      </c>
      <c r="K61" s="30">
        <v>721704</v>
      </c>
      <c r="L61" s="53">
        <f>+J61-K61</f>
        <v>35503.760000000009</v>
      </c>
      <c r="M61" s="26"/>
      <c r="O61" s="22">
        <f t="shared" si="0"/>
        <v>35503.760000000009</v>
      </c>
    </row>
    <row r="62" spans="1:15">
      <c r="A62" s="47" t="s">
        <v>2677</v>
      </c>
      <c r="B62" s="49" t="s">
        <v>174</v>
      </c>
      <c r="C62" s="18" t="s">
        <v>2679</v>
      </c>
      <c r="D62" s="44" t="s">
        <v>230</v>
      </c>
      <c r="E62" s="36" t="s">
        <v>26</v>
      </c>
      <c r="F62" s="61">
        <v>44286</v>
      </c>
      <c r="G62" s="61">
        <v>44474</v>
      </c>
      <c r="H62" s="61">
        <v>44531</v>
      </c>
      <c r="I62" s="52">
        <v>710000</v>
      </c>
      <c r="J62" s="30"/>
      <c r="K62" s="30"/>
      <c r="L62" s="31"/>
      <c r="M62" s="26"/>
      <c r="O62" s="22">
        <f t="shared" si="0"/>
        <v>0</v>
      </c>
    </row>
    <row r="63" spans="1:15">
      <c r="A63" s="47" t="s">
        <v>2678</v>
      </c>
      <c r="B63" s="49" t="s">
        <v>23</v>
      </c>
      <c r="C63" s="18" t="s">
        <v>2679</v>
      </c>
      <c r="D63" s="44" t="s">
        <v>230</v>
      </c>
      <c r="E63" s="36" t="s">
        <v>26</v>
      </c>
      <c r="F63" s="61">
        <v>44286</v>
      </c>
      <c r="G63" s="61">
        <v>44474</v>
      </c>
      <c r="H63" s="61">
        <v>44686</v>
      </c>
      <c r="I63" s="52">
        <v>92881.32</v>
      </c>
      <c r="J63" s="30">
        <f>+I63+I62</f>
        <v>802881.32000000007</v>
      </c>
      <c r="K63" s="30">
        <v>721704</v>
      </c>
      <c r="L63" s="53">
        <f>+J63-K63</f>
        <v>81177.320000000065</v>
      </c>
      <c r="M63" s="26"/>
      <c r="O63" s="22">
        <f t="shared" si="0"/>
        <v>81177.320000000065</v>
      </c>
    </row>
    <row r="64" spans="1:15">
      <c r="A64" s="42" t="s">
        <v>2610</v>
      </c>
      <c r="B64" s="43" t="s">
        <v>174</v>
      </c>
      <c r="C64" s="44" t="s">
        <v>2612</v>
      </c>
      <c r="D64" s="44" t="s">
        <v>2613</v>
      </c>
      <c r="E64" s="36" t="s">
        <v>33</v>
      </c>
      <c r="F64" s="60">
        <v>44274</v>
      </c>
      <c r="G64" s="60">
        <v>44328</v>
      </c>
      <c r="H64" s="60">
        <v>44376</v>
      </c>
      <c r="I64" s="46">
        <v>1499920.02</v>
      </c>
      <c r="J64" s="30"/>
      <c r="K64" s="30"/>
      <c r="L64" s="31"/>
      <c r="M64" s="26"/>
      <c r="O64" s="22">
        <f t="shared" si="0"/>
        <v>0</v>
      </c>
    </row>
    <row r="65" spans="1:15">
      <c r="A65" s="42" t="s">
        <v>2611</v>
      </c>
      <c r="B65" s="43" t="s">
        <v>23</v>
      </c>
      <c r="C65" s="44" t="s">
        <v>2612</v>
      </c>
      <c r="D65" s="44" t="s">
        <v>2614</v>
      </c>
      <c r="E65" s="36" t="s">
        <v>33</v>
      </c>
      <c r="F65" s="60">
        <v>44274</v>
      </c>
      <c r="G65" s="60">
        <v>44328</v>
      </c>
      <c r="H65" s="60">
        <v>44376</v>
      </c>
      <c r="I65" s="46">
        <v>71642.720000000001</v>
      </c>
      <c r="J65" s="30">
        <f>+I65+I64</f>
        <v>1571562.74</v>
      </c>
      <c r="K65" s="30">
        <v>721704</v>
      </c>
      <c r="L65" s="53">
        <f>+J65-K65</f>
        <v>849858.74</v>
      </c>
      <c r="M65" s="26"/>
      <c r="O65" s="22">
        <f t="shared" si="0"/>
        <v>849858.74</v>
      </c>
    </row>
    <row r="66" spans="1:15">
      <c r="A66" s="42" t="s">
        <v>2686</v>
      </c>
      <c r="B66" s="43" t="s">
        <v>245</v>
      </c>
      <c r="C66" s="44" t="s">
        <v>2692</v>
      </c>
      <c r="D66" s="44" t="s">
        <v>2693</v>
      </c>
      <c r="E66" s="36" t="s">
        <v>33</v>
      </c>
      <c r="F66" s="60">
        <v>44356</v>
      </c>
      <c r="G66" s="60">
        <v>44447</v>
      </c>
      <c r="H66" s="60">
        <v>44581</v>
      </c>
      <c r="I66" s="46">
        <v>1210000</v>
      </c>
      <c r="J66" s="30"/>
      <c r="K66" s="30"/>
      <c r="L66" s="31"/>
      <c r="M66" s="26"/>
      <c r="O66" s="22">
        <f t="shared" si="0"/>
        <v>0</v>
      </c>
    </row>
    <row r="67" spans="1:15">
      <c r="A67" s="42" t="s">
        <v>2687</v>
      </c>
      <c r="B67" s="43" t="s">
        <v>1917</v>
      </c>
      <c r="C67" s="44" t="s">
        <v>2692</v>
      </c>
      <c r="D67" s="44" t="s">
        <v>2693</v>
      </c>
      <c r="E67" s="36" t="s">
        <v>33</v>
      </c>
      <c r="F67" s="60">
        <v>44356</v>
      </c>
      <c r="G67" s="60">
        <v>44462</v>
      </c>
      <c r="H67" s="60">
        <v>44522</v>
      </c>
      <c r="I67" s="46">
        <v>7000</v>
      </c>
      <c r="J67" s="30"/>
      <c r="K67" s="30"/>
      <c r="L67" s="31"/>
      <c r="M67" s="26"/>
      <c r="O67" s="22">
        <f t="shared" si="0"/>
        <v>0</v>
      </c>
    </row>
    <row r="68" spans="1:15">
      <c r="A68" s="42" t="s">
        <v>2688</v>
      </c>
      <c r="B68" s="43" t="s">
        <v>174</v>
      </c>
      <c r="C68" s="44" t="s">
        <v>2692</v>
      </c>
      <c r="D68" s="44" t="s">
        <v>2693</v>
      </c>
      <c r="E68" s="36" t="s">
        <v>33</v>
      </c>
      <c r="F68" s="60">
        <v>44356</v>
      </c>
      <c r="G68" s="60">
        <v>44447</v>
      </c>
      <c r="H68" s="60">
        <v>44501</v>
      </c>
      <c r="I68" s="46">
        <v>100000</v>
      </c>
      <c r="J68" s="30"/>
      <c r="K68" s="30"/>
      <c r="L68" s="31"/>
      <c r="M68" s="26"/>
      <c r="O68" s="22">
        <f t="shared" si="0"/>
        <v>0</v>
      </c>
    </row>
    <row r="69" spans="1:15">
      <c r="A69" s="42" t="s">
        <v>2689</v>
      </c>
      <c r="B69" s="43" t="s">
        <v>174</v>
      </c>
      <c r="C69" s="44" t="s">
        <v>2692</v>
      </c>
      <c r="D69" s="44" t="s">
        <v>2693</v>
      </c>
      <c r="E69" s="36" t="s">
        <v>33</v>
      </c>
      <c r="F69" s="60">
        <v>44356</v>
      </c>
      <c r="G69" s="60">
        <v>44462</v>
      </c>
      <c r="H69" s="60">
        <v>44543</v>
      </c>
      <c r="I69" s="46">
        <v>100000</v>
      </c>
      <c r="J69" s="30"/>
      <c r="K69" s="30"/>
      <c r="L69" s="31"/>
      <c r="M69" s="26"/>
      <c r="O69" s="22">
        <f t="shared" si="0"/>
        <v>0</v>
      </c>
    </row>
    <row r="70" spans="1:15">
      <c r="A70" s="42" t="s">
        <v>2690</v>
      </c>
      <c r="B70" s="43" t="s">
        <v>23</v>
      </c>
      <c r="C70" s="44" t="s">
        <v>2692</v>
      </c>
      <c r="D70" s="44" t="s">
        <v>2693</v>
      </c>
      <c r="E70" s="36" t="s">
        <v>33</v>
      </c>
      <c r="F70" s="60">
        <v>44356</v>
      </c>
      <c r="G70" s="60">
        <v>44447</v>
      </c>
      <c r="H70" s="60">
        <v>44501</v>
      </c>
      <c r="I70" s="46">
        <v>35000</v>
      </c>
      <c r="J70" s="30"/>
      <c r="K70" s="30"/>
      <c r="L70" s="31"/>
      <c r="M70" s="26"/>
      <c r="O70" s="22">
        <f t="shared" si="0"/>
        <v>0</v>
      </c>
    </row>
    <row r="71" spans="1:15">
      <c r="A71" s="42" t="s">
        <v>2691</v>
      </c>
      <c r="B71" s="43" t="s">
        <v>23</v>
      </c>
      <c r="C71" s="44" t="s">
        <v>2692</v>
      </c>
      <c r="D71" s="44" t="s">
        <v>2693</v>
      </c>
      <c r="E71" s="36" t="s">
        <v>33</v>
      </c>
      <c r="F71" s="60">
        <v>44356</v>
      </c>
      <c r="G71" s="60">
        <v>44462</v>
      </c>
      <c r="H71" s="60">
        <v>44568</v>
      </c>
      <c r="I71" s="46">
        <v>14500</v>
      </c>
      <c r="J71" s="30">
        <f>+I71+I70+I69+I68+I67+I66</f>
        <v>1466500</v>
      </c>
      <c r="K71" s="30">
        <v>721704</v>
      </c>
      <c r="L71" s="53">
        <f>+J71-K71</f>
        <v>744796</v>
      </c>
      <c r="M71" s="26"/>
      <c r="O71" s="22">
        <f t="shared" si="0"/>
        <v>744796</v>
      </c>
    </row>
    <row r="72" spans="1:15">
      <c r="A72" s="42" t="s">
        <v>2615</v>
      </c>
      <c r="B72" s="43" t="s">
        <v>30</v>
      </c>
      <c r="C72" s="44" t="s">
        <v>2618</v>
      </c>
      <c r="D72" s="44" t="s">
        <v>2401</v>
      </c>
      <c r="E72" s="36" t="s">
        <v>33</v>
      </c>
      <c r="F72" s="60">
        <v>44231</v>
      </c>
      <c r="G72" s="60">
        <v>44331</v>
      </c>
      <c r="H72" s="60">
        <v>44377</v>
      </c>
      <c r="I72" s="46">
        <v>153000</v>
      </c>
      <c r="J72" s="30"/>
      <c r="K72" s="30"/>
      <c r="L72" s="31"/>
      <c r="M72" s="26"/>
      <c r="O72" s="22">
        <f t="shared" si="0"/>
        <v>0</v>
      </c>
    </row>
    <row r="73" spans="1:15">
      <c r="A73" s="42" t="s">
        <v>2616</v>
      </c>
      <c r="B73" s="43" t="s">
        <v>174</v>
      </c>
      <c r="C73" s="44" t="s">
        <v>2618</v>
      </c>
      <c r="D73" s="44" t="s">
        <v>2401</v>
      </c>
      <c r="E73" s="36" t="s">
        <v>33</v>
      </c>
      <c r="F73" s="60">
        <v>44231</v>
      </c>
      <c r="G73" s="60">
        <v>44331</v>
      </c>
      <c r="H73" s="60">
        <v>44393</v>
      </c>
      <c r="I73" s="46">
        <v>250000</v>
      </c>
      <c r="J73" s="30"/>
      <c r="K73" s="30"/>
      <c r="L73" s="31"/>
      <c r="M73" s="26"/>
      <c r="O73" s="22">
        <f t="shared" si="0"/>
        <v>0</v>
      </c>
    </row>
    <row r="74" spans="1:15">
      <c r="A74" s="42" t="s">
        <v>2617</v>
      </c>
      <c r="B74" s="43" t="s">
        <v>174</v>
      </c>
      <c r="C74" s="44" t="s">
        <v>2618</v>
      </c>
      <c r="D74" s="44" t="s">
        <v>2401</v>
      </c>
      <c r="E74" s="36" t="s">
        <v>33</v>
      </c>
      <c r="F74" s="60">
        <v>44231</v>
      </c>
      <c r="G74" s="60">
        <v>44331</v>
      </c>
      <c r="H74" s="60">
        <v>44393</v>
      </c>
      <c r="I74" s="46">
        <v>412358.15</v>
      </c>
      <c r="J74" s="30">
        <f>+I72+I73+I74</f>
        <v>815358.15</v>
      </c>
      <c r="K74" s="30">
        <v>721704</v>
      </c>
      <c r="L74" s="53">
        <f>+J74-K74</f>
        <v>93654.150000000023</v>
      </c>
      <c r="M74" s="26"/>
      <c r="O74" s="22">
        <f t="shared" si="0"/>
        <v>93654.150000000023</v>
      </c>
    </row>
    <row r="75" spans="1:15">
      <c r="A75" s="42" t="s">
        <v>2619</v>
      </c>
      <c r="B75" s="43" t="s">
        <v>174</v>
      </c>
      <c r="C75" s="44" t="s">
        <v>2621</v>
      </c>
      <c r="D75" s="44" t="s">
        <v>2622</v>
      </c>
      <c r="E75" s="36" t="s">
        <v>33</v>
      </c>
      <c r="F75" s="60">
        <v>44319</v>
      </c>
      <c r="G75" s="60">
        <v>44411</v>
      </c>
      <c r="H75" s="60">
        <v>44459</v>
      </c>
      <c r="I75" s="46">
        <v>633000</v>
      </c>
      <c r="J75" s="30"/>
      <c r="K75" s="30"/>
      <c r="L75" s="31"/>
      <c r="M75" s="26"/>
      <c r="O75" s="22">
        <f t="shared" si="0"/>
        <v>0</v>
      </c>
    </row>
    <row r="76" spans="1:15">
      <c r="A76" s="42" t="s">
        <v>2620</v>
      </c>
      <c r="B76" s="43" t="s">
        <v>23</v>
      </c>
      <c r="C76" s="44" t="s">
        <v>2621</v>
      </c>
      <c r="D76" s="44" t="s">
        <v>2622</v>
      </c>
      <c r="E76" s="36" t="s">
        <v>33</v>
      </c>
      <c r="F76" s="60">
        <v>44319</v>
      </c>
      <c r="G76" s="60">
        <v>44411</v>
      </c>
      <c r="H76" s="60">
        <v>44459</v>
      </c>
      <c r="I76" s="46">
        <v>165000</v>
      </c>
      <c r="J76" s="30">
        <f>+I76+I75</f>
        <v>798000</v>
      </c>
      <c r="K76" s="30">
        <v>721704</v>
      </c>
      <c r="L76" s="53">
        <f>+J76-K76</f>
        <v>76296</v>
      </c>
      <c r="M76" s="26"/>
      <c r="O76" s="22">
        <f t="shared" si="0"/>
        <v>76296</v>
      </c>
    </row>
    <row r="77" spans="1:15">
      <c r="A77" s="42" t="s">
        <v>2623</v>
      </c>
      <c r="B77" s="43" t="s">
        <v>30</v>
      </c>
      <c r="C77" s="44" t="s">
        <v>2625</v>
      </c>
      <c r="D77" s="44" t="s">
        <v>2626</v>
      </c>
      <c r="E77" s="36" t="s">
        <v>33</v>
      </c>
      <c r="F77" s="60">
        <v>44324</v>
      </c>
      <c r="G77" s="60">
        <v>44419</v>
      </c>
      <c r="H77" s="60">
        <v>44474</v>
      </c>
      <c r="I77" s="46">
        <v>57500</v>
      </c>
      <c r="J77" s="30"/>
      <c r="K77" s="30"/>
      <c r="L77" s="31"/>
      <c r="M77" s="26"/>
      <c r="O77" s="22">
        <f t="shared" si="0"/>
        <v>0</v>
      </c>
    </row>
    <row r="78" spans="1:15">
      <c r="A78" s="42" t="s">
        <v>2624</v>
      </c>
      <c r="B78" s="43" t="s">
        <v>174</v>
      </c>
      <c r="C78" s="44" t="s">
        <v>2625</v>
      </c>
      <c r="D78" s="44" t="s">
        <v>2626</v>
      </c>
      <c r="E78" s="36" t="s">
        <v>33</v>
      </c>
      <c r="F78" s="60">
        <v>44324</v>
      </c>
      <c r="G78" s="60">
        <v>44419</v>
      </c>
      <c r="H78" s="60">
        <v>44484</v>
      </c>
      <c r="I78" s="46">
        <v>2966694.45</v>
      </c>
      <c r="J78" s="30">
        <f>+I78+I77</f>
        <v>3024194.45</v>
      </c>
      <c r="K78" s="30">
        <v>721704</v>
      </c>
      <c r="L78" s="53">
        <f>+J78-K78</f>
        <v>2302490.4500000002</v>
      </c>
      <c r="M78" s="26"/>
      <c r="O78" s="22">
        <f t="shared" si="0"/>
        <v>2302490.4500000002</v>
      </c>
    </row>
    <row r="79" spans="1:15">
      <c r="A79" s="42" t="s">
        <v>2516</v>
      </c>
      <c r="B79" s="43" t="s">
        <v>174</v>
      </c>
      <c r="C79" s="44" t="s">
        <v>2517</v>
      </c>
      <c r="D79" s="44" t="s">
        <v>2326</v>
      </c>
      <c r="E79" s="36" t="s">
        <v>33</v>
      </c>
      <c r="F79" s="60">
        <v>44274</v>
      </c>
      <c r="G79" s="60">
        <v>44314</v>
      </c>
      <c r="H79" s="60">
        <v>44370</v>
      </c>
      <c r="I79" s="46">
        <v>640000</v>
      </c>
      <c r="J79" s="30"/>
      <c r="K79" s="30"/>
      <c r="L79" s="31"/>
      <c r="M79" s="26"/>
      <c r="O79" s="22">
        <f t="shared" si="0"/>
        <v>0</v>
      </c>
    </row>
    <row r="80" spans="1:15">
      <c r="A80" s="42" t="s">
        <v>2518</v>
      </c>
      <c r="B80" s="43" t="s">
        <v>23</v>
      </c>
      <c r="C80" s="44" t="s">
        <v>2517</v>
      </c>
      <c r="D80" s="44" t="s">
        <v>2326</v>
      </c>
      <c r="E80" s="36" t="s">
        <v>33</v>
      </c>
      <c r="F80" s="60">
        <v>44274</v>
      </c>
      <c r="G80" s="60">
        <v>44314</v>
      </c>
      <c r="H80" s="60">
        <v>44370</v>
      </c>
      <c r="I80" s="46">
        <v>165000</v>
      </c>
      <c r="J80" s="30"/>
      <c r="K80" s="30"/>
      <c r="L80" s="31"/>
      <c r="M80" s="26"/>
      <c r="O80" s="22">
        <f t="shared" si="0"/>
        <v>0</v>
      </c>
    </row>
    <row r="81" spans="1:15">
      <c r="A81" s="42" t="s">
        <v>2516</v>
      </c>
      <c r="B81" s="43" t="s">
        <v>174</v>
      </c>
      <c r="C81" s="44" t="s">
        <v>2517</v>
      </c>
      <c r="D81" s="44" t="s">
        <v>2326</v>
      </c>
      <c r="E81" s="36" t="s">
        <v>33</v>
      </c>
      <c r="F81" s="60">
        <v>44274</v>
      </c>
      <c r="G81" s="60">
        <v>44314</v>
      </c>
      <c r="H81" s="60">
        <v>44385</v>
      </c>
      <c r="I81" s="46">
        <v>54300</v>
      </c>
      <c r="J81" s="30"/>
      <c r="K81" s="30"/>
      <c r="L81" s="31"/>
      <c r="M81" s="26"/>
      <c r="O81" s="22">
        <f t="shared" si="0"/>
        <v>0</v>
      </c>
    </row>
    <row r="82" spans="1:15">
      <c r="A82" s="42" t="s">
        <v>2627</v>
      </c>
      <c r="B82" s="43" t="s">
        <v>93</v>
      </c>
      <c r="C82" s="44" t="s">
        <v>2517</v>
      </c>
      <c r="D82" s="44" t="s">
        <v>2326</v>
      </c>
      <c r="E82" s="36" t="s">
        <v>33</v>
      </c>
      <c r="F82" s="60">
        <v>44274</v>
      </c>
      <c r="G82" s="60">
        <v>44379</v>
      </c>
      <c r="H82" s="60">
        <v>44417</v>
      </c>
      <c r="I82" s="46">
        <v>40000</v>
      </c>
      <c r="J82" s="30">
        <f>SUM(I79:I82)</f>
        <v>899300</v>
      </c>
      <c r="K82" s="30">
        <v>721704</v>
      </c>
      <c r="L82" s="53">
        <f>+J82-K82</f>
        <v>177596</v>
      </c>
      <c r="M82" s="26"/>
      <c r="O82" s="22">
        <f t="shared" si="0"/>
        <v>177596</v>
      </c>
    </row>
    <row r="83" spans="1:15">
      <c r="A83" s="42" t="s">
        <v>2707</v>
      </c>
      <c r="B83" s="43" t="s">
        <v>30</v>
      </c>
      <c r="C83" s="44" t="s">
        <v>2709</v>
      </c>
      <c r="D83" s="44" t="s">
        <v>2637</v>
      </c>
      <c r="E83" s="36" t="s">
        <v>33</v>
      </c>
      <c r="F83" s="60">
        <v>44458</v>
      </c>
      <c r="G83" s="60">
        <v>44645</v>
      </c>
      <c r="H83" s="60">
        <v>44678</v>
      </c>
      <c r="I83" s="46">
        <v>21754.48</v>
      </c>
      <c r="J83" s="30"/>
      <c r="K83" s="30"/>
      <c r="L83" s="31"/>
      <c r="M83" s="26"/>
      <c r="O83" s="22">
        <f t="shared" si="0"/>
        <v>0</v>
      </c>
    </row>
    <row r="84" spans="1:15">
      <c r="A84" s="42" t="s">
        <v>2708</v>
      </c>
      <c r="B84" s="43" t="s">
        <v>174</v>
      </c>
      <c r="C84" s="44" t="s">
        <v>2709</v>
      </c>
      <c r="D84" s="44" t="s">
        <v>2637</v>
      </c>
      <c r="E84" s="36" t="s">
        <v>33</v>
      </c>
      <c r="F84" s="60">
        <v>44458</v>
      </c>
      <c r="G84" s="60">
        <v>44645</v>
      </c>
      <c r="H84" s="60">
        <v>44678</v>
      </c>
      <c r="I84" s="46">
        <v>938241.35</v>
      </c>
      <c r="J84" s="30">
        <f>+I84+I83</f>
        <v>959995.83</v>
      </c>
      <c r="K84" s="30">
        <v>721704</v>
      </c>
      <c r="L84" s="31">
        <f>+J84-K84</f>
        <v>238291.82999999996</v>
      </c>
      <c r="M84" s="26"/>
      <c r="O84" s="22">
        <f t="shared" si="0"/>
        <v>238291.82999999996</v>
      </c>
    </row>
    <row r="85" spans="1:15">
      <c r="A85" s="42" t="s">
        <v>2628</v>
      </c>
      <c r="B85" s="43" t="s">
        <v>93</v>
      </c>
      <c r="C85" s="44" t="s">
        <v>2632</v>
      </c>
      <c r="D85" s="44" t="s">
        <v>2633</v>
      </c>
      <c r="E85" s="36" t="s">
        <v>33</v>
      </c>
      <c r="F85" s="60">
        <v>44387</v>
      </c>
      <c r="G85" s="60">
        <v>44470</v>
      </c>
      <c r="H85" s="60">
        <v>44482</v>
      </c>
      <c r="I85" s="46">
        <v>205000</v>
      </c>
      <c r="J85" s="30"/>
      <c r="K85" s="30"/>
      <c r="L85" s="31"/>
      <c r="M85" s="26"/>
      <c r="O85" s="22">
        <f t="shared" si="0"/>
        <v>0</v>
      </c>
    </row>
    <row r="86" spans="1:15">
      <c r="A86" s="42" t="s">
        <v>2629</v>
      </c>
      <c r="B86" s="43" t="s">
        <v>93</v>
      </c>
      <c r="C86" s="44" t="s">
        <v>2632</v>
      </c>
      <c r="D86" s="44" t="s">
        <v>2633</v>
      </c>
      <c r="E86" s="36" t="s">
        <v>33</v>
      </c>
      <c r="F86" s="60">
        <v>44387</v>
      </c>
      <c r="G86" s="60">
        <v>44489</v>
      </c>
      <c r="H86" s="60">
        <v>44531</v>
      </c>
      <c r="I86" s="46">
        <v>1002500</v>
      </c>
      <c r="J86" s="30"/>
      <c r="K86" s="30"/>
      <c r="L86" s="31"/>
      <c r="M86" s="26"/>
      <c r="O86" s="22">
        <f t="shared" si="0"/>
        <v>0</v>
      </c>
    </row>
    <row r="87" spans="1:15">
      <c r="A87" s="42" t="s">
        <v>2630</v>
      </c>
      <c r="B87" s="43" t="s">
        <v>1917</v>
      </c>
      <c r="C87" s="44" t="s">
        <v>2632</v>
      </c>
      <c r="D87" s="44" t="s">
        <v>2633</v>
      </c>
      <c r="E87" s="36" t="s">
        <v>33</v>
      </c>
      <c r="F87" s="60">
        <v>44387</v>
      </c>
      <c r="G87" s="60">
        <v>44470</v>
      </c>
      <c r="H87" s="60">
        <v>44482</v>
      </c>
      <c r="I87" s="46">
        <v>7000</v>
      </c>
      <c r="J87" s="30"/>
      <c r="K87" s="30"/>
      <c r="L87" s="31"/>
      <c r="M87" s="26"/>
      <c r="O87" s="22">
        <f t="shared" si="0"/>
        <v>0</v>
      </c>
    </row>
    <row r="88" spans="1:15">
      <c r="A88" s="42" t="s">
        <v>2631</v>
      </c>
      <c r="B88" s="43" t="s">
        <v>23</v>
      </c>
      <c r="C88" s="44" t="s">
        <v>2632</v>
      </c>
      <c r="D88" s="44" t="s">
        <v>2633</v>
      </c>
      <c r="E88" s="36" t="s">
        <v>33</v>
      </c>
      <c r="F88" s="60">
        <v>44387</v>
      </c>
      <c r="G88" s="60">
        <v>44470</v>
      </c>
      <c r="H88" s="60">
        <v>44482</v>
      </c>
      <c r="I88" s="46">
        <v>14500</v>
      </c>
      <c r="J88" s="30">
        <f>+I85+I86+I87+I88</f>
        <v>1229000</v>
      </c>
      <c r="K88" s="30">
        <v>721704</v>
      </c>
      <c r="L88" s="53">
        <f>+J88-K88</f>
        <v>507296</v>
      </c>
      <c r="M88" s="26"/>
      <c r="O88" s="22">
        <f t="shared" si="0"/>
        <v>507296</v>
      </c>
    </row>
    <row r="89" spans="1:15">
      <c r="A89" s="42" t="s">
        <v>2519</v>
      </c>
      <c r="B89" s="43" t="s">
        <v>174</v>
      </c>
      <c r="C89" s="44" t="s">
        <v>2520</v>
      </c>
      <c r="D89" s="44" t="s">
        <v>1891</v>
      </c>
      <c r="E89" s="36" t="s">
        <v>33</v>
      </c>
      <c r="F89" s="60">
        <v>44202</v>
      </c>
      <c r="G89" s="60">
        <v>44257</v>
      </c>
      <c r="H89" s="60">
        <v>44284</v>
      </c>
      <c r="I89" s="46">
        <v>105000</v>
      </c>
      <c r="J89" s="30"/>
      <c r="K89" s="30"/>
      <c r="L89" s="31"/>
      <c r="M89" s="26"/>
      <c r="O89" s="22">
        <f t="shared" si="0"/>
        <v>0</v>
      </c>
    </row>
    <row r="90" spans="1:15">
      <c r="A90" s="42" t="s">
        <v>2521</v>
      </c>
      <c r="B90" s="43" t="s">
        <v>174</v>
      </c>
      <c r="C90" s="44" t="s">
        <v>2520</v>
      </c>
      <c r="D90" s="44" t="s">
        <v>1891</v>
      </c>
      <c r="E90" s="36" t="s">
        <v>33</v>
      </c>
      <c r="F90" s="60">
        <v>44202</v>
      </c>
      <c r="G90" s="60">
        <v>44215</v>
      </c>
      <c r="H90" s="60">
        <v>44356</v>
      </c>
      <c r="I90" s="46">
        <v>1147000</v>
      </c>
      <c r="J90" s="30"/>
      <c r="K90" s="30"/>
      <c r="L90" s="31"/>
      <c r="M90" s="26"/>
      <c r="O90" s="22">
        <f t="shared" si="0"/>
        <v>0</v>
      </c>
    </row>
    <row r="91" spans="1:15">
      <c r="A91" s="42" t="s">
        <v>2522</v>
      </c>
      <c r="B91" s="43" t="s">
        <v>23</v>
      </c>
      <c r="C91" s="44" t="s">
        <v>2520</v>
      </c>
      <c r="D91" s="44" t="s">
        <v>1891</v>
      </c>
      <c r="E91" s="36" t="s">
        <v>33</v>
      </c>
      <c r="F91" s="60">
        <v>44202</v>
      </c>
      <c r="G91" s="60">
        <v>44246</v>
      </c>
      <c r="H91" s="60">
        <v>44354</v>
      </c>
      <c r="I91" s="46">
        <v>165000</v>
      </c>
      <c r="J91" s="30">
        <f>SUM(I89:I91)</f>
        <v>1417000</v>
      </c>
      <c r="K91" s="30">
        <v>721704</v>
      </c>
      <c r="L91" s="53">
        <f>+J91-K91</f>
        <v>695296</v>
      </c>
      <c r="M91" s="26"/>
      <c r="O91" s="22">
        <f t="shared" si="0"/>
        <v>695296</v>
      </c>
    </row>
    <row r="92" spans="1:15">
      <c r="A92" s="42" t="s">
        <v>2634</v>
      </c>
      <c r="B92" s="43" t="s">
        <v>174</v>
      </c>
      <c r="C92" s="44" t="s">
        <v>2636</v>
      </c>
      <c r="D92" s="44" t="s">
        <v>2637</v>
      </c>
      <c r="E92" s="36" t="s">
        <v>33</v>
      </c>
      <c r="F92" s="60">
        <v>44466</v>
      </c>
      <c r="G92" s="60">
        <v>44515</v>
      </c>
      <c r="H92" s="60">
        <v>44560</v>
      </c>
      <c r="I92" s="46">
        <v>760000</v>
      </c>
      <c r="J92" s="30"/>
      <c r="K92" s="30"/>
      <c r="L92" s="31"/>
      <c r="M92" s="26"/>
      <c r="O92" s="22">
        <f t="shared" si="0"/>
        <v>0</v>
      </c>
    </row>
    <row r="93" spans="1:15">
      <c r="A93" s="47" t="s">
        <v>2635</v>
      </c>
      <c r="B93" s="49" t="s">
        <v>23</v>
      </c>
      <c r="C93" s="18" t="s">
        <v>2636</v>
      </c>
      <c r="D93" s="44" t="s">
        <v>2637</v>
      </c>
      <c r="E93" s="36" t="s">
        <v>33</v>
      </c>
      <c r="F93" s="61">
        <v>44466</v>
      </c>
      <c r="G93" s="61">
        <v>44515</v>
      </c>
      <c r="H93" s="61">
        <v>44558</v>
      </c>
      <c r="I93" s="52">
        <v>85500</v>
      </c>
      <c r="J93" s="30">
        <f>+I93+I92</f>
        <v>845500</v>
      </c>
      <c r="K93" s="30">
        <v>721704</v>
      </c>
      <c r="L93" s="31">
        <f>+J93-K93</f>
        <v>123796</v>
      </c>
      <c r="M93" s="26"/>
      <c r="O93" s="22">
        <f t="shared" si="0"/>
        <v>123796</v>
      </c>
    </row>
    <row r="94" spans="1:15">
      <c r="A94" s="47" t="s">
        <v>2638</v>
      </c>
      <c r="B94" s="49" t="s">
        <v>174</v>
      </c>
      <c r="C94" s="18" t="s">
        <v>2639</v>
      </c>
      <c r="D94" s="44" t="s">
        <v>2637</v>
      </c>
      <c r="E94" s="36" t="s">
        <v>33</v>
      </c>
      <c r="F94" s="61">
        <v>44399</v>
      </c>
      <c r="G94" s="61">
        <v>44440</v>
      </c>
      <c r="H94" s="61">
        <v>44558</v>
      </c>
      <c r="I94" s="52">
        <v>5959970.4199999999</v>
      </c>
      <c r="J94" s="30">
        <f>+I94</f>
        <v>5959970.4199999999</v>
      </c>
      <c r="K94" s="30">
        <v>721704</v>
      </c>
      <c r="L94" s="53">
        <f>+J94-K94</f>
        <v>5238266.42</v>
      </c>
      <c r="M94" s="26"/>
      <c r="O94" s="22">
        <f t="shared" ref="O94:O121" si="1">IF($J94&gt;P$8,$J94-P$8,0)</f>
        <v>5238266.42</v>
      </c>
    </row>
    <row r="95" spans="1:15">
      <c r="A95" s="47" t="s">
        <v>2640</v>
      </c>
      <c r="B95" s="49" t="s">
        <v>1917</v>
      </c>
      <c r="C95" s="18" t="s">
        <v>2643</v>
      </c>
      <c r="D95" s="44" t="s">
        <v>2644</v>
      </c>
      <c r="E95" s="36" t="s">
        <v>33</v>
      </c>
      <c r="F95" s="61">
        <v>44279</v>
      </c>
      <c r="G95" s="61">
        <v>44351</v>
      </c>
      <c r="H95" s="61">
        <v>44417</v>
      </c>
      <c r="I95" s="52">
        <v>30000</v>
      </c>
      <c r="J95" s="30"/>
      <c r="K95" s="30"/>
      <c r="L95" s="31"/>
      <c r="M95" s="26"/>
      <c r="O95" s="22">
        <f t="shared" si="1"/>
        <v>0</v>
      </c>
    </row>
    <row r="96" spans="1:15">
      <c r="A96" s="9" t="s">
        <v>2641</v>
      </c>
      <c r="B96" s="11" t="s">
        <v>174</v>
      </c>
      <c r="C96" s="10" t="s">
        <v>2643</v>
      </c>
      <c r="D96" s="44" t="s">
        <v>2645</v>
      </c>
      <c r="E96" s="36" t="s">
        <v>33</v>
      </c>
      <c r="F96" s="19">
        <v>44279</v>
      </c>
      <c r="G96" s="19">
        <v>44351</v>
      </c>
      <c r="H96" s="19">
        <v>44417</v>
      </c>
      <c r="I96" s="57">
        <v>3109746.83</v>
      </c>
      <c r="J96" s="30"/>
      <c r="K96" s="30"/>
      <c r="L96" s="31"/>
      <c r="M96" s="26"/>
      <c r="O96" s="22">
        <f t="shared" si="1"/>
        <v>0</v>
      </c>
    </row>
    <row r="97" spans="1:15">
      <c r="A97" s="9" t="s">
        <v>2642</v>
      </c>
      <c r="B97" s="11" t="s">
        <v>23</v>
      </c>
      <c r="C97" s="10" t="s">
        <v>2643</v>
      </c>
      <c r="D97" s="44" t="s">
        <v>2644</v>
      </c>
      <c r="E97" s="36" t="s">
        <v>33</v>
      </c>
      <c r="F97" s="19">
        <v>44279</v>
      </c>
      <c r="G97" s="19">
        <v>44351</v>
      </c>
      <c r="H97" s="19">
        <v>44417</v>
      </c>
      <c r="I97" s="57">
        <v>654191.12</v>
      </c>
      <c r="J97" s="30"/>
      <c r="K97" s="30"/>
      <c r="L97" s="31"/>
      <c r="M97" s="26"/>
      <c r="O97" s="22">
        <f t="shared" si="1"/>
        <v>0</v>
      </c>
    </row>
    <row r="98" spans="1:15">
      <c r="A98" s="9" t="s">
        <v>2641</v>
      </c>
      <c r="B98" s="11" t="s">
        <v>174</v>
      </c>
      <c r="C98" s="10" t="s">
        <v>2643</v>
      </c>
      <c r="D98" s="44" t="s">
        <v>2645</v>
      </c>
      <c r="E98" s="36" t="s">
        <v>33</v>
      </c>
      <c r="F98" s="19">
        <v>44279</v>
      </c>
      <c r="G98" s="19">
        <v>44351</v>
      </c>
      <c r="H98" s="19">
        <v>44470</v>
      </c>
      <c r="I98" s="57">
        <v>516253.17</v>
      </c>
      <c r="J98" s="30">
        <f>+I95+I96+I97+I98</f>
        <v>4310191.12</v>
      </c>
      <c r="K98" s="30">
        <v>721704</v>
      </c>
      <c r="L98" s="53">
        <f>+J98-K98</f>
        <v>3588487.12</v>
      </c>
      <c r="M98" s="26"/>
      <c r="O98" s="22">
        <f t="shared" si="1"/>
        <v>3588487.12</v>
      </c>
    </row>
    <row r="99" spans="1:15">
      <c r="A99" s="48" t="s">
        <v>2523</v>
      </c>
      <c r="B99" s="50" t="s">
        <v>174</v>
      </c>
      <c r="C99" s="51" t="s">
        <v>2524</v>
      </c>
      <c r="D99" s="44" t="s">
        <v>2326</v>
      </c>
      <c r="E99" s="36" t="s">
        <v>33</v>
      </c>
      <c r="F99" s="59">
        <v>44220</v>
      </c>
      <c r="G99" s="59">
        <v>44260</v>
      </c>
      <c r="H99" s="59">
        <v>44341</v>
      </c>
      <c r="I99" s="58">
        <v>967288.77</v>
      </c>
      <c r="J99" s="30"/>
      <c r="K99" s="30"/>
      <c r="L99" s="31"/>
      <c r="M99" s="26"/>
      <c r="O99" s="22">
        <f t="shared" si="1"/>
        <v>0</v>
      </c>
    </row>
    <row r="100" spans="1:15">
      <c r="A100" s="48" t="s">
        <v>2525</v>
      </c>
      <c r="B100" s="50" t="s">
        <v>23</v>
      </c>
      <c r="C100" s="51" t="s">
        <v>2524</v>
      </c>
      <c r="D100" s="44" t="s">
        <v>2326</v>
      </c>
      <c r="E100" s="36" t="s">
        <v>33</v>
      </c>
      <c r="F100" s="59">
        <v>44220</v>
      </c>
      <c r="G100" s="59">
        <v>44260</v>
      </c>
      <c r="H100" s="59">
        <v>44315</v>
      </c>
      <c r="I100" s="58">
        <v>63531.24</v>
      </c>
      <c r="J100" s="30">
        <f>+I100+I99</f>
        <v>1030820.01</v>
      </c>
      <c r="K100" s="30">
        <v>721704</v>
      </c>
      <c r="L100" s="53">
        <f>+J100-K100</f>
        <v>309116.01</v>
      </c>
      <c r="M100" s="26"/>
      <c r="O100" s="22">
        <f t="shared" si="1"/>
        <v>309116.01</v>
      </c>
    </row>
    <row r="101" spans="1:15">
      <c r="A101" s="9" t="s">
        <v>2646</v>
      </c>
      <c r="B101" s="11" t="s">
        <v>30</v>
      </c>
      <c r="C101" s="10" t="s">
        <v>2648</v>
      </c>
      <c r="D101" s="44" t="s">
        <v>2401</v>
      </c>
      <c r="E101" s="36" t="s">
        <v>33</v>
      </c>
      <c r="F101" s="19">
        <v>44315</v>
      </c>
      <c r="G101" s="19">
        <v>44419</v>
      </c>
      <c r="H101" s="19">
        <v>44474</v>
      </c>
      <c r="I101" s="57">
        <v>43125</v>
      </c>
      <c r="J101" s="30"/>
      <c r="K101" s="30"/>
      <c r="L101" s="31"/>
      <c r="M101" s="26"/>
      <c r="O101" s="22">
        <f t="shared" si="1"/>
        <v>0</v>
      </c>
    </row>
    <row r="102" spans="1:15">
      <c r="A102" s="9" t="s">
        <v>2647</v>
      </c>
      <c r="B102" s="11" t="s">
        <v>174</v>
      </c>
      <c r="C102" s="10" t="s">
        <v>2648</v>
      </c>
      <c r="D102" s="44" t="s">
        <v>2563</v>
      </c>
      <c r="E102" s="36" t="s">
        <v>33</v>
      </c>
      <c r="F102" s="19">
        <v>44315</v>
      </c>
      <c r="G102" s="19">
        <v>44419</v>
      </c>
      <c r="H102" s="19">
        <v>44484</v>
      </c>
      <c r="I102" s="57">
        <v>4021703.86</v>
      </c>
      <c r="J102" s="30">
        <f>+I102+I101</f>
        <v>4064828.86</v>
      </c>
      <c r="K102" s="30">
        <v>721704</v>
      </c>
      <c r="L102" s="53">
        <f>+J102-K102</f>
        <v>3343124.86</v>
      </c>
      <c r="M102" s="26"/>
      <c r="O102" s="22">
        <f t="shared" si="1"/>
        <v>3343124.86</v>
      </c>
    </row>
    <row r="103" spans="1:15">
      <c r="A103" s="9" t="s">
        <v>2694</v>
      </c>
      <c r="B103" s="11" t="s">
        <v>174</v>
      </c>
      <c r="C103" s="10" t="s">
        <v>2696</v>
      </c>
      <c r="D103" s="44" t="s">
        <v>38</v>
      </c>
      <c r="E103" s="36" t="s">
        <v>33</v>
      </c>
      <c r="F103" s="19">
        <v>44450</v>
      </c>
      <c r="G103" s="19">
        <v>44571</v>
      </c>
      <c r="H103" s="19">
        <v>44602</v>
      </c>
      <c r="I103" s="57">
        <v>938018.02</v>
      </c>
      <c r="J103" s="30"/>
      <c r="K103" s="30"/>
      <c r="L103" s="31"/>
      <c r="M103" s="26"/>
      <c r="O103" s="22">
        <f t="shared" si="1"/>
        <v>0</v>
      </c>
    </row>
    <row r="104" spans="1:15">
      <c r="A104" s="9" t="s">
        <v>2695</v>
      </c>
      <c r="B104" s="11" t="s">
        <v>23</v>
      </c>
      <c r="C104" s="10" t="s">
        <v>2696</v>
      </c>
      <c r="D104" s="44" t="s">
        <v>38</v>
      </c>
      <c r="E104" s="36" t="s">
        <v>33</v>
      </c>
      <c r="F104" s="19">
        <v>44450</v>
      </c>
      <c r="G104" s="19">
        <v>44571</v>
      </c>
      <c r="H104" s="19">
        <v>44602</v>
      </c>
      <c r="I104" s="57">
        <v>177979.65</v>
      </c>
      <c r="J104" s="30">
        <f>+I104+I103</f>
        <v>1115997.67</v>
      </c>
      <c r="K104" s="30">
        <v>721704</v>
      </c>
      <c r="L104" s="31">
        <f>+J104-K104</f>
        <v>394293.66999999993</v>
      </c>
      <c r="M104" s="26"/>
      <c r="O104" s="22">
        <f t="shared" si="1"/>
        <v>394293.66999999993</v>
      </c>
    </row>
    <row r="105" spans="1:15">
      <c r="A105" s="9" t="s">
        <v>2697</v>
      </c>
      <c r="B105" s="11" t="s">
        <v>93</v>
      </c>
      <c r="C105" s="10" t="s">
        <v>2698</v>
      </c>
      <c r="D105" s="44" t="s">
        <v>2699</v>
      </c>
      <c r="E105" s="36" t="s">
        <v>33</v>
      </c>
      <c r="F105" s="19">
        <v>44505</v>
      </c>
      <c r="G105" s="19">
        <v>44537</v>
      </c>
      <c r="H105" s="19">
        <v>44615</v>
      </c>
      <c r="I105" s="57">
        <v>2020000</v>
      </c>
      <c r="J105" s="30">
        <f>+I105</f>
        <v>2020000</v>
      </c>
      <c r="K105" s="30">
        <v>721704</v>
      </c>
      <c r="L105" s="31">
        <f>+J105-K105</f>
        <v>1298296</v>
      </c>
      <c r="M105" s="26"/>
      <c r="O105" s="22">
        <f t="shared" si="1"/>
        <v>1298296</v>
      </c>
    </row>
    <row r="106" spans="1:15">
      <c r="A106" s="9" t="s">
        <v>2649</v>
      </c>
      <c r="B106" s="11" t="s">
        <v>174</v>
      </c>
      <c r="C106" s="10" t="s">
        <v>2654</v>
      </c>
      <c r="D106" s="44" t="s">
        <v>59</v>
      </c>
      <c r="E106" s="36" t="s">
        <v>33</v>
      </c>
      <c r="F106" s="19">
        <v>44490</v>
      </c>
      <c r="G106" s="19">
        <v>44505</v>
      </c>
      <c r="H106" s="19">
        <v>44553</v>
      </c>
      <c r="I106" s="57">
        <v>688416.04</v>
      </c>
      <c r="J106" s="30"/>
      <c r="K106" s="30"/>
      <c r="L106" s="31"/>
      <c r="M106" s="26"/>
      <c r="O106" s="22">
        <f t="shared" si="1"/>
        <v>0</v>
      </c>
    </row>
    <row r="107" spans="1:15">
      <c r="A107" s="9" t="s">
        <v>2650</v>
      </c>
      <c r="B107" s="11" t="s">
        <v>23</v>
      </c>
      <c r="C107" s="10" t="s">
        <v>2654</v>
      </c>
      <c r="D107" s="44" t="s">
        <v>59</v>
      </c>
      <c r="E107" s="36" t="s">
        <v>33</v>
      </c>
      <c r="F107" s="19">
        <v>44490</v>
      </c>
      <c r="G107" s="19">
        <v>44505</v>
      </c>
      <c r="H107" s="19">
        <v>44553</v>
      </c>
      <c r="I107" s="57">
        <v>72277.490000000005</v>
      </c>
      <c r="J107" s="30"/>
      <c r="K107" s="30"/>
      <c r="L107" s="31"/>
      <c r="M107" s="26"/>
      <c r="O107" s="22">
        <f t="shared" si="1"/>
        <v>0</v>
      </c>
    </row>
    <row r="108" spans="1:15">
      <c r="A108" s="9" t="s">
        <v>2651</v>
      </c>
      <c r="B108" s="11" t="s">
        <v>1900</v>
      </c>
      <c r="C108" s="10" t="s">
        <v>2654</v>
      </c>
      <c r="D108" s="44" t="s">
        <v>750</v>
      </c>
      <c r="E108" s="36" t="s">
        <v>33</v>
      </c>
      <c r="F108" s="19">
        <v>44490</v>
      </c>
      <c r="G108" s="19">
        <v>44531</v>
      </c>
      <c r="H108" s="19">
        <v>44536</v>
      </c>
      <c r="I108" s="57">
        <v>66000</v>
      </c>
      <c r="J108" s="30"/>
      <c r="K108" s="30"/>
      <c r="L108" s="31"/>
      <c r="M108" s="26"/>
      <c r="O108" s="22">
        <f t="shared" si="1"/>
        <v>0</v>
      </c>
    </row>
    <row r="109" spans="1:15">
      <c r="A109" s="9" t="s">
        <v>2652</v>
      </c>
      <c r="B109" s="11" t="s">
        <v>1900</v>
      </c>
      <c r="C109" s="10" t="s">
        <v>2654</v>
      </c>
      <c r="D109" s="44" t="s">
        <v>750</v>
      </c>
      <c r="E109" s="36" t="s">
        <v>33</v>
      </c>
      <c r="F109" s="19">
        <v>44490</v>
      </c>
      <c r="G109" s="19">
        <v>44536</v>
      </c>
      <c r="H109" s="19">
        <v>44557</v>
      </c>
      <c r="I109" s="57">
        <v>20000</v>
      </c>
      <c r="J109" s="30"/>
      <c r="K109" s="30"/>
      <c r="L109" s="31"/>
      <c r="M109" s="26"/>
      <c r="O109" s="22">
        <f t="shared" si="1"/>
        <v>0</v>
      </c>
    </row>
    <row r="110" spans="1:15">
      <c r="A110" s="9" t="s">
        <v>2653</v>
      </c>
      <c r="B110" s="11" t="s">
        <v>23</v>
      </c>
      <c r="C110" s="10" t="s">
        <v>2654</v>
      </c>
      <c r="D110" s="44" t="s">
        <v>59</v>
      </c>
      <c r="E110" s="36" t="s">
        <v>33</v>
      </c>
      <c r="F110" s="19">
        <v>44490</v>
      </c>
      <c r="G110" s="19">
        <v>44531</v>
      </c>
      <c r="H110" s="19">
        <v>44536</v>
      </c>
      <c r="I110" s="57">
        <v>10768.89</v>
      </c>
      <c r="J110" s="30">
        <f>+I106+I107+I108+I109+I110</f>
        <v>857462.42</v>
      </c>
      <c r="K110" s="30">
        <v>721704</v>
      </c>
      <c r="L110" s="31">
        <f>+J110-K110</f>
        <v>135758.42000000004</v>
      </c>
      <c r="M110" s="26"/>
      <c r="O110" s="22">
        <f t="shared" si="1"/>
        <v>135758.42000000004</v>
      </c>
    </row>
    <row r="111" spans="1:15">
      <c r="A111" s="9" t="s">
        <v>2655</v>
      </c>
      <c r="B111" s="11" t="s">
        <v>174</v>
      </c>
      <c r="C111" s="10" t="s">
        <v>2657</v>
      </c>
      <c r="D111" s="44" t="s">
        <v>2326</v>
      </c>
      <c r="E111" s="36" t="s">
        <v>33</v>
      </c>
      <c r="F111" s="19">
        <v>44369</v>
      </c>
      <c r="G111" s="19">
        <v>44410</v>
      </c>
      <c r="H111" s="19">
        <v>44487</v>
      </c>
      <c r="I111" s="57">
        <v>727013.89</v>
      </c>
      <c r="J111" s="30"/>
      <c r="K111" s="30"/>
      <c r="L111" s="31"/>
      <c r="M111" s="26"/>
      <c r="O111" s="22">
        <f t="shared" si="1"/>
        <v>0</v>
      </c>
    </row>
    <row r="112" spans="1:15">
      <c r="A112" s="9" t="s">
        <v>2656</v>
      </c>
      <c r="B112" s="11" t="s">
        <v>23</v>
      </c>
      <c r="C112" s="10" t="s">
        <v>2657</v>
      </c>
      <c r="D112" s="44" t="s">
        <v>2326</v>
      </c>
      <c r="E112" s="36" t="s">
        <v>33</v>
      </c>
      <c r="F112" s="19">
        <v>44369</v>
      </c>
      <c r="G112" s="19">
        <v>44410</v>
      </c>
      <c r="H112" s="19">
        <v>44487</v>
      </c>
      <c r="I112" s="57">
        <v>62591.18</v>
      </c>
      <c r="J112" s="30">
        <f>+I112+I111</f>
        <v>789605.07000000007</v>
      </c>
      <c r="K112" s="30">
        <v>721704</v>
      </c>
      <c r="L112" s="53">
        <f>+J112-K112</f>
        <v>67901.070000000065</v>
      </c>
      <c r="M112" s="26"/>
      <c r="O112" s="22">
        <f t="shared" si="1"/>
        <v>67901.070000000065</v>
      </c>
    </row>
    <row r="113" spans="1:15">
      <c r="A113" s="48" t="s">
        <v>2526</v>
      </c>
      <c r="B113" s="50" t="s">
        <v>174</v>
      </c>
      <c r="C113" s="51" t="s">
        <v>2527</v>
      </c>
      <c r="D113" s="44" t="s">
        <v>2326</v>
      </c>
      <c r="E113" s="36" t="s">
        <v>33</v>
      </c>
      <c r="F113" s="59">
        <v>44240</v>
      </c>
      <c r="G113" s="59">
        <v>44322</v>
      </c>
      <c r="H113" s="59">
        <v>44376</v>
      </c>
      <c r="I113" s="58">
        <v>1000000</v>
      </c>
      <c r="J113" s="30">
        <f>+I113</f>
        <v>1000000</v>
      </c>
      <c r="K113" s="30">
        <v>721704</v>
      </c>
      <c r="L113" s="53">
        <f>+J113-K113</f>
        <v>278296</v>
      </c>
      <c r="M113" s="26"/>
      <c r="O113" s="22">
        <f t="shared" si="1"/>
        <v>278296</v>
      </c>
    </row>
    <row r="114" spans="1:15">
      <c r="A114" s="48" t="s">
        <v>2528</v>
      </c>
      <c r="B114" s="50" t="s">
        <v>30</v>
      </c>
      <c r="C114" s="51" t="s">
        <v>2529</v>
      </c>
      <c r="D114" s="44" t="s">
        <v>2326</v>
      </c>
      <c r="E114" s="36" t="s">
        <v>33</v>
      </c>
      <c r="F114" s="59">
        <v>44222</v>
      </c>
      <c r="G114" s="59">
        <v>44267</v>
      </c>
      <c r="H114" s="59">
        <v>44294</v>
      </c>
      <c r="I114" s="58">
        <v>153000</v>
      </c>
      <c r="J114" s="30"/>
      <c r="K114" s="30"/>
      <c r="L114" s="31"/>
      <c r="M114" s="26"/>
      <c r="O114" s="22">
        <f t="shared" si="1"/>
        <v>0</v>
      </c>
    </row>
    <row r="115" spans="1:15">
      <c r="A115" s="48" t="s">
        <v>2530</v>
      </c>
      <c r="B115" s="50" t="s">
        <v>174</v>
      </c>
      <c r="C115" s="51" t="s">
        <v>2529</v>
      </c>
      <c r="D115" s="44" t="s">
        <v>2326</v>
      </c>
      <c r="E115" s="36" t="s">
        <v>33</v>
      </c>
      <c r="F115" s="59">
        <v>44222</v>
      </c>
      <c r="G115" s="59">
        <v>44267</v>
      </c>
      <c r="H115" s="59">
        <v>44294</v>
      </c>
      <c r="I115" s="58">
        <v>607250.79999999993</v>
      </c>
      <c r="J115" s="30"/>
      <c r="K115" s="30"/>
      <c r="L115" s="31"/>
      <c r="M115" s="26"/>
      <c r="O115" s="22">
        <f t="shared" si="1"/>
        <v>0</v>
      </c>
    </row>
    <row r="116" spans="1:15">
      <c r="A116" s="9" t="s">
        <v>2658</v>
      </c>
      <c r="B116" s="11" t="s">
        <v>174</v>
      </c>
      <c r="C116" s="51" t="s">
        <v>2529</v>
      </c>
      <c r="D116" s="44" t="s">
        <v>2626</v>
      </c>
      <c r="E116" s="36" t="s">
        <v>33</v>
      </c>
      <c r="F116" s="19">
        <v>44222</v>
      </c>
      <c r="G116" s="19">
        <v>44397</v>
      </c>
      <c r="H116" s="19">
        <v>44439</v>
      </c>
      <c r="I116" s="57">
        <v>16410.5</v>
      </c>
      <c r="J116" s="30"/>
      <c r="K116" s="30"/>
      <c r="L116" s="31"/>
      <c r="M116" s="26"/>
      <c r="O116" s="22">
        <f t="shared" si="1"/>
        <v>0</v>
      </c>
    </row>
    <row r="117" spans="1:15">
      <c r="A117" s="9" t="s">
        <v>2659</v>
      </c>
      <c r="B117" s="11" t="s">
        <v>23</v>
      </c>
      <c r="C117" s="51" t="s">
        <v>2529</v>
      </c>
      <c r="D117" s="44" t="s">
        <v>2660</v>
      </c>
      <c r="E117" s="36" t="s">
        <v>33</v>
      </c>
      <c r="F117" s="19">
        <v>44222</v>
      </c>
      <c r="G117" s="19">
        <v>44397</v>
      </c>
      <c r="H117" s="19">
        <v>44439</v>
      </c>
      <c r="I117" s="57">
        <v>60851.37</v>
      </c>
      <c r="J117" s="30">
        <f>SUM(I114:I117)</f>
        <v>837512.66999999993</v>
      </c>
      <c r="K117" s="30">
        <v>721704</v>
      </c>
      <c r="L117" s="53">
        <f>+J117-K117</f>
        <v>115808.66999999993</v>
      </c>
      <c r="M117" s="26"/>
      <c r="O117" s="22">
        <f t="shared" si="1"/>
        <v>115808.66999999993</v>
      </c>
    </row>
    <row r="118" spans="1:15">
      <c r="A118" s="9" t="s">
        <v>2661</v>
      </c>
      <c r="B118" s="11" t="s">
        <v>174</v>
      </c>
      <c r="C118" s="10" t="s">
        <v>2663</v>
      </c>
      <c r="D118" s="44" t="s">
        <v>2401</v>
      </c>
      <c r="E118" s="36" t="s">
        <v>33</v>
      </c>
      <c r="F118" s="19">
        <v>44301</v>
      </c>
      <c r="G118" s="19">
        <v>44337</v>
      </c>
      <c r="H118" s="19">
        <v>44396</v>
      </c>
      <c r="I118" s="57">
        <v>757385.15</v>
      </c>
      <c r="J118" s="30"/>
      <c r="K118" s="30"/>
      <c r="L118" s="31"/>
      <c r="M118" s="26"/>
      <c r="O118" s="22">
        <f t="shared" si="1"/>
        <v>0</v>
      </c>
    </row>
    <row r="119" spans="1:15">
      <c r="A119" s="9" t="s">
        <v>2662</v>
      </c>
      <c r="B119" s="11" t="s">
        <v>23</v>
      </c>
      <c r="C119" s="10" t="s">
        <v>2663</v>
      </c>
      <c r="D119" s="44" t="s">
        <v>2401</v>
      </c>
      <c r="E119" s="36" t="s">
        <v>33</v>
      </c>
      <c r="F119" s="19">
        <v>44301</v>
      </c>
      <c r="G119" s="19">
        <v>44337</v>
      </c>
      <c r="H119" s="19">
        <v>44396</v>
      </c>
      <c r="I119" s="57">
        <v>90876.83</v>
      </c>
      <c r="J119" s="30">
        <f>+I119+I118</f>
        <v>848261.98</v>
      </c>
      <c r="K119" s="30">
        <v>721704</v>
      </c>
      <c r="L119" s="53">
        <f>+J119-K119</f>
        <v>126557.97999999998</v>
      </c>
      <c r="M119" s="26"/>
      <c r="O119" s="22">
        <f t="shared" si="1"/>
        <v>126557.97999999998</v>
      </c>
    </row>
    <row r="120" spans="1:15">
      <c r="A120" s="9" t="s">
        <v>2664</v>
      </c>
      <c r="B120" s="11" t="s">
        <v>174</v>
      </c>
      <c r="C120" s="10" t="s">
        <v>2666</v>
      </c>
      <c r="D120" s="44" t="s">
        <v>2326</v>
      </c>
      <c r="E120" s="45" t="s">
        <v>33</v>
      </c>
      <c r="F120" s="19">
        <v>44338</v>
      </c>
      <c r="G120" s="19">
        <v>44379</v>
      </c>
      <c r="H120" s="19">
        <v>44494</v>
      </c>
      <c r="I120" s="57">
        <v>1500000</v>
      </c>
      <c r="J120" s="30"/>
      <c r="K120" s="30"/>
      <c r="L120" s="31"/>
      <c r="M120" s="26"/>
      <c r="O120" s="22">
        <f t="shared" si="1"/>
        <v>0</v>
      </c>
    </row>
    <row r="121" spans="1:15" ht="15" thickBot="1">
      <c r="A121" s="9" t="s">
        <v>2665</v>
      </c>
      <c r="B121" s="11" t="s">
        <v>23</v>
      </c>
      <c r="C121" s="10" t="s">
        <v>2666</v>
      </c>
      <c r="D121" s="44" t="s">
        <v>2326</v>
      </c>
      <c r="E121" s="45" t="s">
        <v>33</v>
      </c>
      <c r="F121" s="19">
        <v>44338</v>
      </c>
      <c r="G121" s="19">
        <v>44379</v>
      </c>
      <c r="H121" s="19">
        <v>44494</v>
      </c>
      <c r="I121" s="57">
        <v>104500</v>
      </c>
      <c r="J121" s="30">
        <f>+I120+I121</f>
        <v>1604500</v>
      </c>
      <c r="K121" s="30">
        <v>721704</v>
      </c>
      <c r="L121" s="53">
        <f>+J121-K121</f>
        <v>882796</v>
      </c>
      <c r="M121" s="26"/>
      <c r="O121" s="22">
        <f t="shared" si="1"/>
        <v>882796</v>
      </c>
    </row>
    <row r="122" spans="1:15" ht="15" thickBot="1">
      <c r="H122" s="16" t="s">
        <v>1941</v>
      </c>
      <c r="I122" s="21">
        <f>SUM(I9:I121)</f>
        <v>79021084.340000033</v>
      </c>
      <c r="J122" s="21">
        <f>SUM(J9:J121)</f>
        <v>79021084.340000004</v>
      </c>
      <c r="K122" s="21">
        <f>SUM(K9:K121)</f>
        <v>33920088</v>
      </c>
      <c r="L122" s="21">
        <f>SUM(L9:L121)</f>
        <v>45100996.339999989</v>
      </c>
      <c r="M122" s="21">
        <f>SUM(M9:M121)</f>
        <v>0</v>
      </c>
      <c r="O122" s="20">
        <f>SUM(O9:O121)</f>
        <v>45100996.339999989</v>
      </c>
    </row>
    <row r="123" spans="1:15">
      <c r="K123" s="7">
        <f>K122/I122</f>
        <v>0.42925363886496098</v>
      </c>
      <c r="L123" s="7">
        <f>L122/I122</f>
        <v>0.5707463611350384</v>
      </c>
    </row>
    <row r="124" spans="1:15">
      <c r="K124" s="13"/>
      <c r="L124" s="13"/>
    </row>
    <row r="125" spans="1:15">
      <c r="J125" t="s">
        <v>2535</v>
      </c>
      <c r="K125" s="13">
        <v>23544086.266738001</v>
      </c>
      <c r="L125" s="8">
        <f>L122/K125</f>
        <v>1.9155976506812495</v>
      </c>
    </row>
    <row r="126" spans="1:15">
      <c r="K126" s="13"/>
    </row>
    <row r="127" spans="1:15">
      <c r="L127" s="25"/>
    </row>
    <row r="128" spans="1:15">
      <c r="L128" s="25">
        <v>32000000</v>
      </c>
    </row>
    <row r="129" spans="12:13">
      <c r="L129" s="4"/>
      <c r="M129" s="7"/>
    </row>
    <row r="130" spans="12:13">
      <c r="L130" s="4">
        <f>+L128-L122</f>
        <v>-13100996.339999989</v>
      </c>
    </row>
  </sheetData>
  <autoFilter ref="A8:M121" xr:uid="{00000000-0009-0000-0000-00000D000000}"/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count="1">
    <dataValidation type="list" allowBlank="1" showInputMessage="1" showErrorMessage="1" sqref="B10:B95" xr:uid="{00000000-0002-0000-0D00-000000000000}">
      <formula1>#REF!</formula1>
    </dataValidation>
  </dataValidations>
  <pageMargins left="0.7" right="0.7" top="0.75" bottom="0.75" header="0.3" footer="0.3"/>
  <pageSetup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22"/>
  <sheetViews>
    <sheetView showGridLines="0" topLeftCell="E85" zoomScaleNormal="100" workbookViewId="0">
      <selection activeCell="O112" sqref="O112"/>
    </sheetView>
  </sheetViews>
  <sheetFormatPr baseColWidth="10" defaultRowHeight="14.4"/>
  <cols>
    <col min="1" max="3" width="31.5546875" style="72" customWidth="1"/>
    <col min="4" max="4" width="43.5546875" style="72" customWidth="1"/>
    <col min="5" max="5" width="20.77734375" style="72" customWidth="1"/>
    <col min="6" max="6" width="20.44140625" style="72" customWidth="1"/>
    <col min="7" max="7" width="17.109375" style="72" customWidth="1"/>
    <col min="8" max="8" width="17" style="72" customWidth="1"/>
    <col min="9" max="9" width="24" style="72" bestFit="1" customWidth="1"/>
    <col min="10" max="10" width="22.44140625" style="72" bestFit="1" customWidth="1"/>
    <col min="11" max="11" width="15.21875" style="72" bestFit="1" customWidth="1"/>
    <col min="12" max="12" width="15.5546875" style="72" bestFit="1" customWidth="1"/>
    <col min="13" max="13" width="17.21875" style="72" bestFit="1" customWidth="1"/>
    <col min="14" max="14" width="11.5546875" style="72"/>
    <col min="15" max="15" width="20.109375" style="72" bestFit="1" customWidth="1"/>
    <col min="16" max="16" width="12.88671875" style="72" bestFit="1" customWidth="1"/>
    <col min="17" max="21" width="11.5546875" style="72"/>
    <col min="22" max="22" width="38.44140625" style="72" bestFit="1" customWidth="1"/>
    <col min="23" max="23" width="29.109375" style="72" bestFit="1" customWidth="1"/>
    <col min="24" max="28" width="11.5546875" style="72"/>
    <col min="29" max="29" width="22.109375" style="72" bestFit="1" customWidth="1"/>
    <col min="30" max="30" width="30" style="72" bestFit="1" customWidth="1"/>
    <col min="31" max="16384" width="11.5546875" style="72"/>
  </cols>
  <sheetData>
    <row r="1" spans="1:30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30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30" ht="18.600000000000001" thickBot="1">
      <c r="A3" s="774" t="s">
        <v>1666</v>
      </c>
      <c r="B3" s="775"/>
      <c r="C3" s="492">
        <v>24.6419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30" ht="18.600000000000001" thickBot="1">
      <c r="A4" s="747" t="s">
        <v>1665</v>
      </c>
      <c r="B4" s="776"/>
      <c r="C4" s="783" t="s">
        <v>2956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30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30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30" ht="18.600000000000001" thickBot="1">
      <c r="A7" s="753" t="s">
        <v>3074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30" ht="15" thickBot="1">
      <c r="A8" s="526" t="s">
        <v>9</v>
      </c>
      <c r="B8" s="526" t="s">
        <v>10</v>
      </c>
      <c r="C8" s="527" t="s">
        <v>11</v>
      </c>
      <c r="D8" s="527" t="s">
        <v>12</v>
      </c>
      <c r="E8" s="527" t="s">
        <v>13</v>
      </c>
      <c r="F8" s="527" t="s">
        <v>14</v>
      </c>
      <c r="G8" s="527" t="s">
        <v>15</v>
      </c>
      <c r="H8" s="527" t="s">
        <v>16</v>
      </c>
      <c r="I8" s="527" t="s">
        <v>17</v>
      </c>
      <c r="J8" s="527" t="s">
        <v>18</v>
      </c>
      <c r="K8" s="527" t="s">
        <v>19</v>
      </c>
      <c r="L8" s="527" t="s">
        <v>20</v>
      </c>
      <c r="M8" s="527" t="s">
        <v>21</v>
      </c>
      <c r="O8" s="454" t="s">
        <v>1090</v>
      </c>
      <c r="P8" s="455">
        <f>'BURNING COST'!F8</f>
        <v>721704</v>
      </c>
      <c r="V8" s="72" t="s">
        <v>1062</v>
      </c>
      <c r="W8" s="72" t="s">
        <v>2534</v>
      </c>
      <c r="AC8" s="531" t="s">
        <v>1062</v>
      </c>
      <c r="AD8" s="531" t="s">
        <v>2534</v>
      </c>
    </row>
    <row r="9" spans="1:30">
      <c r="A9" s="720" t="s">
        <v>3118</v>
      </c>
      <c r="B9" s="720" t="s">
        <v>174</v>
      </c>
      <c r="C9" s="720" t="s">
        <v>3119</v>
      </c>
      <c r="D9" s="720" t="s">
        <v>26</v>
      </c>
      <c r="E9" s="721" t="s">
        <v>33</v>
      </c>
      <c r="F9" s="722">
        <v>45229</v>
      </c>
      <c r="G9" s="722">
        <v>45401</v>
      </c>
      <c r="H9" s="722">
        <v>45411</v>
      </c>
      <c r="I9" s="723">
        <v>845000</v>
      </c>
      <c r="J9" s="724"/>
      <c r="K9" s="724"/>
      <c r="L9" s="724"/>
      <c r="M9" s="586"/>
      <c r="O9" s="157" t="s">
        <v>1091</v>
      </c>
      <c r="V9" s="262" t="s">
        <v>2326</v>
      </c>
      <c r="W9" s="255">
        <v>4887751.4000000004</v>
      </c>
      <c r="AC9" s="262" t="s">
        <v>30</v>
      </c>
      <c r="AD9" s="82">
        <v>153000</v>
      </c>
    </row>
    <row r="10" spans="1:30">
      <c r="A10" s="720" t="s">
        <v>3120</v>
      </c>
      <c r="B10" s="720" t="s">
        <v>23</v>
      </c>
      <c r="C10" s="720" t="s">
        <v>3119</v>
      </c>
      <c r="D10" s="720" t="s">
        <v>26</v>
      </c>
      <c r="E10" s="721" t="s">
        <v>26</v>
      </c>
      <c r="F10" s="722">
        <v>45229</v>
      </c>
      <c r="G10" s="722">
        <v>45401</v>
      </c>
      <c r="H10" s="722">
        <v>45411</v>
      </c>
      <c r="I10" s="723">
        <v>29918.34</v>
      </c>
      <c r="J10" s="724">
        <f>+I10+I9</f>
        <v>874918.34</v>
      </c>
      <c r="K10" s="724">
        <v>721704</v>
      </c>
      <c r="L10" s="724">
        <f>+J10-K10</f>
        <v>153214.33999999997</v>
      </c>
      <c r="M10" s="586"/>
      <c r="O10" s="215">
        <f t="shared" ref="O10:O73" si="0">IF($J10&gt;P$8,$J10-P$8,0)</f>
        <v>153214.33999999997</v>
      </c>
      <c r="V10" s="262" t="s">
        <v>2401</v>
      </c>
      <c r="W10" s="255">
        <v>1520000</v>
      </c>
      <c r="AC10" s="262" t="s">
        <v>23</v>
      </c>
      <c r="AD10" s="82">
        <v>493387.22</v>
      </c>
    </row>
    <row r="11" spans="1:30">
      <c r="A11" s="720" t="s">
        <v>2958</v>
      </c>
      <c r="B11" s="720" t="s">
        <v>174</v>
      </c>
      <c r="C11" s="725" t="s">
        <v>2959</v>
      </c>
      <c r="D11" s="725" t="s">
        <v>2960</v>
      </c>
      <c r="E11" s="721" t="s">
        <v>33</v>
      </c>
      <c r="F11" s="726">
        <v>45039</v>
      </c>
      <c r="G11" s="726">
        <v>45100</v>
      </c>
      <c r="H11" s="726">
        <v>45168</v>
      </c>
      <c r="I11" s="727">
        <v>205000</v>
      </c>
      <c r="J11" s="724"/>
      <c r="K11" s="724"/>
      <c r="L11" s="724"/>
      <c r="M11" s="586"/>
      <c r="O11" s="215"/>
      <c r="V11" s="262" t="s">
        <v>2563</v>
      </c>
      <c r="W11" s="255">
        <v>1032500</v>
      </c>
      <c r="AC11" s="262" t="s">
        <v>174</v>
      </c>
      <c r="AD11" s="82">
        <v>10958022.040000001</v>
      </c>
    </row>
    <row r="12" spans="1:30">
      <c r="A12" s="720" t="s">
        <v>2961</v>
      </c>
      <c r="B12" s="720" t="s">
        <v>174</v>
      </c>
      <c r="C12" s="725" t="s">
        <v>2959</v>
      </c>
      <c r="D12" s="725" t="s">
        <v>2960</v>
      </c>
      <c r="E12" s="721" t="s">
        <v>33</v>
      </c>
      <c r="F12" s="726">
        <v>45039</v>
      </c>
      <c r="G12" s="726">
        <v>45100</v>
      </c>
      <c r="H12" s="726">
        <v>45168</v>
      </c>
      <c r="I12" s="727">
        <v>49000</v>
      </c>
      <c r="J12" s="724"/>
      <c r="K12" s="724"/>
      <c r="L12" s="724"/>
      <c r="M12" s="586"/>
      <c r="O12" s="215"/>
      <c r="V12" s="262" t="s">
        <v>2569</v>
      </c>
      <c r="W12" s="255">
        <v>966340.02</v>
      </c>
      <c r="AC12" s="262" t="s">
        <v>36</v>
      </c>
      <c r="AD12" s="82">
        <v>1979372.83</v>
      </c>
    </row>
    <row r="13" spans="1:30">
      <c r="A13" s="720" t="s">
        <v>2962</v>
      </c>
      <c r="B13" s="720" t="s">
        <v>174</v>
      </c>
      <c r="C13" s="725" t="s">
        <v>2959</v>
      </c>
      <c r="D13" s="725" t="s">
        <v>2960</v>
      </c>
      <c r="E13" s="721" t="s">
        <v>33</v>
      </c>
      <c r="F13" s="726">
        <v>45039</v>
      </c>
      <c r="G13" s="726">
        <v>45083</v>
      </c>
      <c r="H13" s="726">
        <v>45149</v>
      </c>
      <c r="I13" s="727">
        <v>476500</v>
      </c>
      <c r="J13" s="724"/>
      <c r="K13" s="724"/>
      <c r="L13" s="724"/>
      <c r="M13" s="586"/>
      <c r="O13" s="215"/>
      <c r="V13" s="262" t="s">
        <v>2574</v>
      </c>
      <c r="W13" s="255">
        <v>905979.95</v>
      </c>
      <c r="AC13" s="262" t="s">
        <v>1066</v>
      </c>
      <c r="AD13" s="82">
        <f>SUM(AD9:AD12)</f>
        <v>13583782.090000002</v>
      </c>
    </row>
    <row r="14" spans="1:30">
      <c r="A14" s="721" t="s">
        <v>2963</v>
      </c>
      <c r="B14" s="721" t="s">
        <v>23</v>
      </c>
      <c r="C14" s="725" t="s">
        <v>2959</v>
      </c>
      <c r="D14" s="725" t="s">
        <v>2960</v>
      </c>
      <c r="E14" s="721" t="s">
        <v>33</v>
      </c>
      <c r="F14" s="726">
        <v>45039</v>
      </c>
      <c r="G14" s="726">
        <v>45083</v>
      </c>
      <c r="H14" s="726">
        <v>45149</v>
      </c>
      <c r="I14" s="727">
        <v>122629.84</v>
      </c>
      <c r="J14" s="724">
        <f>SUM(I11:I14)</f>
        <v>853129.84</v>
      </c>
      <c r="K14" s="724">
        <v>721704</v>
      </c>
      <c r="L14" s="724">
        <f>+J14-K14</f>
        <v>131425.83999999997</v>
      </c>
      <c r="M14" s="586"/>
      <c r="O14" s="215">
        <f t="shared" si="0"/>
        <v>131425.83999999997</v>
      </c>
      <c r="V14" s="262" t="s">
        <v>2578</v>
      </c>
      <c r="W14" s="255">
        <v>782080.44</v>
      </c>
      <c r="AC14" s="262"/>
      <c r="AD14" s="82"/>
    </row>
    <row r="15" spans="1:30">
      <c r="A15" s="720" t="s">
        <v>2964</v>
      </c>
      <c r="B15" s="720" t="s">
        <v>174</v>
      </c>
      <c r="C15" s="725" t="s">
        <v>2965</v>
      </c>
      <c r="D15" s="725" t="s">
        <v>603</v>
      </c>
      <c r="E15" s="721" t="s">
        <v>33</v>
      </c>
      <c r="F15" s="726">
        <v>45150</v>
      </c>
      <c r="G15" s="726">
        <v>45170</v>
      </c>
      <c r="H15" s="726">
        <v>45182</v>
      </c>
      <c r="I15" s="727">
        <v>642000</v>
      </c>
      <c r="J15" s="724"/>
      <c r="K15" s="724"/>
      <c r="L15" s="724"/>
      <c r="M15" s="586"/>
      <c r="O15" s="215"/>
      <c r="V15" s="262" t="s">
        <v>2581</v>
      </c>
      <c r="W15" s="255">
        <v>1489623</v>
      </c>
      <c r="AC15" s="262"/>
      <c r="AD15" s="82"/>
    </row>
    <row r="16" spans="1:30">
      <c r="A16" s="721" t="s">
        <v>2966</v>
      </c>
      <c r="B16" s="721" t="s">
        <v>23</v>
      </c>
      <c r="C16" s="725" t="s">
        <v>2965</v>
      </c>
      <c r="D16" s="725" t="s">
        <v>603</v>
      </c>
      <c r="E16" s="721" t="s">
        <v>33</v>
      </c>
      <c r="F16" s="726">
        <v>45150</v>
      </c>
      <c r="G16" s="726">
        <v>45170</v>
      </c>
      <c r="H16" s="726">
        <v>45182</v>
      </c>
      <c r="I16" s="727">
        <v>110000</v>
      </c>
      <c r="J16" s="724">
        <f>+I16+I15</f>
        <v>752000</v>
      </c>
      <c r="K16" s="724">
        <v>721704</v>
      </c>
      <c r="L16" s="724">
        <f>+J16-K16</f>
        <v>30296</v>
      </c>
      <c r="M16" s="586"/>
      <c r="O16" s="215">
        <f t="shared" si="0"/>
        <v>30296</v>
      </c>
      <c r="V16" s="262" t="s">
        <v>2586</v>
      </c>
      <c r="W16" s="255">
        <v>1015000</v>
      </c>
      <c r="AC16" s="262" t="s">
        <v>1062</v>
      </c>
      <c r="AD16" s="82" t="s">
        <v>2534</v>
      </c>
    </row>
    <row r="17" spans="1:31">
      <c r="A17" s="720" t="s">
        <v>3050</v>
      </c>
      <c r="B17" s="720" t="s">
        <v>174</v>
      </c>
      <c r="C17" s="720" t="s">
        <v>3051</v>
      </c>
      <c r="D17" s="720" t="s">
        <v>506</v>
      </c>
      <c r="E17" s="721" t="s">
        <v>33</v>
      </c>
      <c r="F17" s="722">
        <v>45208</v>
      </c>
      <c r="G17" s="722">
        <v>45272</v>
      </c>
      <c r="H17" s="722">
        <v>45286</v>
      </c>
      <c r="I17" s="723">
        <v>760500</v>
      </c>
      <c r="J17" s="724"/>
      <c r="K17" s="724"/>
      <c r="L17" s="724"/>
      <c r="M17" s="586"/>
      <c r="O17" s="215"/>
      <c r="V17" s="262" t="s">
        <v>1066</v>
      </c>
      <c r="W17" s="255">
        <v>12599274.809999999</v>
      </c>
      <c r="AC17" s="262" t="s">
        <v>2326</v>
      </c>
      <c r="AD17" s="82">
        <v>11376198.939999999</v>
      </c>
      <c r="AE17" s="72">
        <f>AD17/AD20</f>
        <v>0.8374839101972078</v>
      </c>
    </row>
    <row r="18" spans="1:31">
      <c r="A18" s="720" t="s">
        <v>3052</v>
      </c>
      <c r="B18" s="720" t="s">
        <v>23</v>
      </c>
      <c r="C18" s="720" t="s">
        <v>3051</v>
      </c>
      <c r="D18" s="720" t="s">
        <v>3053</v>
      </c>
      <c r="E18" s="721" t="s">
        <v>33</v>
      </c>
      <c r="F18" s="722">
        <v>45208</v>
      </c>
      <c r="G18" s="722">
        <v>45272</v>
      </c>
      <c r="H18" s="722">
        <v>45286</v>
      </c>
      <c r="I18" s="723">
        <v>75949.13</v>
      </c>
      <c r="J18" s="724">
        <f>+I18+I17</f>
        <v>836449.13</v>
      </c>
      <c r="K18" s="724">
        <v>721704</v>
      </c>
      <c r="L18" s="724">
        <f>+J18-K18</f>
        <v>114745.13</v>
      </c>
      <c r="M18" s="586"/>
      <c r="O18" s="215">
        <f t="shared" si="0"/>
        <v>114745.13</v>
      </c>
      <c r="V18" s="262"/>
      <c r="W18" s="255"/>
      <c r="AC18" s="262" t="s">
        <v>1891</v>
      </c>
      <c r="AD18" s="82">
        <v>1417000</v>
      </c>
      <c r="AE18" s="72">
        <f>AD18/AD20</f>
        <v>0.10431557209999384</v>
      </c>
    </row>
    <row r="19" spans="1:31">
      <c r="A19" s="720" t="s">
        <v>2967</v>
      </c>
      <c r="B19" s="720" t="s">
        <v>174</v>
      </c>
      <c r="C19" s="720" t="s">
        <v>2968</v>
      </c>
      <c r="D19" s="720" t="s">
        <v>1255</v>
      </c>
      <c r="E19" s="721" t="s">
        <v>33</v>
      </c>
      <c r="F19" s="726">
        <v>45044</v>
      </c>
      <c r="G19" s="726">
        <v>45121</v>
      </c>
      <c r="H19" s="726">
        <v>45133</v>
      </c>
      <c r="I19" s="727">
        <v>580121.72</v>
      </c>
      <c r="J19" s="724"/>
      <c r="K19" s="724"/>
      <c r="L19" s="724"/>
      <c r="M19" s="586"/>
      <c r="O19" s="215"/>
      <c r="V19" s="262"/>
      <c r="W19" s="255"/>
      <c r="AC19" s="262" t="s">
        <v>38</v>
      </c>
      <c r="AD19" s="82">
        <v>790583.15</v>
      </c>
      <c r="AE19" s="72">
        <f>AD19/AD20</f>
        <v>5.8200517702798341E-2</v>
      </c>
    </row>
    <row r="20" spans="1:31">
      <c r="A20" s="720" t="s">
        <v>2969</v>
      </c>
      <c r="B20" s="720" t="s">
        <v>23</v>
      </c>
      <c r="C20" s="720" t="s">
        <v>2968</v>
      </c>
      <c r="D20" s="720" t="s">
        <v>1255</v>
      </c>
      <c r="E20" s="721" t="s">
        <v>33</v>
      </c>
      <c r="F20" s="726">
        <v>45044</v>
      </c>
      <c r="G20" s="726">
        <v>45121</v>
      </c>
      <c r="H20" s="726">
        <v>45133</v>
      </c>
      <c r="I20" s="727">
        <v>171781.13</v>
      </c>
      <c r="J20" s="724"/>
      <c r="K20" s="724"/>
      <c r="L20" s="724"/>
      <c r="M20" s="586"/>
      <c r="O20" s="215"/>
      <c r="V20" s="262"/>
      <c r="W20" s="255"/>
      <c r="AC20" s="262" t="s">
        <v>1066</v>
      </c>
      <c r="AD20" s="82">
        <f>SUM(AD17:AD19)</f>
        <v>13583782.09</v>
      </c>
    </row>
    <row r="21" spans="1:31">
      <c r="A21" s="720" t="s">
        <v>2970</v>
      </c>
      <c r="B21" s="720" t="s">
        <v>174</v>
      </c>
      <c r="C21" s="725" t="s">
        <v>2968</v>
      </c>
      <c r="D21" s="725" t="s">
        <v>1255</v>
      </c>
      <c r="E21" s="721" t="s">
        <v>33</v>
      </c>
      <c r="F21" s="726">
        <v>45044</v>
      </c>
      <c r="G21" s="726">
        <v>45139</v>
      </c>
      <c r="H21" s="722">
        <v>45146</v>
      </c>
      <c r="I21" s="723">
        <v>12049.42</v>
      </c>
      <c r="J21" s="724"/>
      <c r="K21" s="724"/>
      <c r="L21" s="724"/>
      <c r="M21" s="586"/>
      <c r="O21" s="215"/>
      <c r="V21" s="262"/>
      <c r="W21" s="255"/>
      <c r="AC21" s="262"/>
      <c r="AD21" s="82"/>
    </row>
    <row r="22" spans="1:31">
      <c r="A22" s="721" t="s">
        <v>2971</v>
      </c>
      <c r="B22" s="721" t="s">
        <v>23</v>
      </c>
      <c r="C22" s="725" t="s">
        <v>2968</v>
      </c>
      <c r="D22" s="725" t="s">
        <v>1255</v>
      </c>
      <c r="E22" s="721" t="s">
        <v>33</v>
      </c>
      <c r="F22" s="726">
        <v>45044</v>
      </c>
      <c r="G22" s="726">
        <v>45139</v>
      </c>
      <c r="H22" s="722">
        <v>45146</v>
      </c>
      <c r="I22" s="723">
        <v>15919.54</v>
      </c>
      <c r="J22" s="724">
        <f>SUM(I19:I22)</f>
        <v>779871.81</v>
      </c>
      <c r="K22" s="724">
        <v>721704</v>
      </c>
      <c r="L22" s="724">
        <f>+J22-K22</f>
        <v>58167.810000000056</v>
      </c>
      <c r="M22" s="586"/>
      <c r="O22" s="215">
        <f t="shared" si="0"/>
        <v>58167.810000000056</v>
      </c>
      <c r="V22" s="262"/>
      <c r="W22" s="255"/>
      <c r="AC22" s="262"/>
      <c r="AD22" s="82"/>
    </row>
    <row r="23" spans="1:31">
      <c r="A23" s="720" t="s">
        <v>2972</v>
      </c>
      <c r="B23" s="720" t="s">
        <v>1917</v>
      </c>
      <c r="C23" s="725" t="s">
        <v>2973</v>
      </c>
      <c r="D23" s="725" t="s">
        <v>84</v>
      </c>
      <c r="E23" s="721" t="s">
        <v>33</v>
      </c>
      <c r="F23" s="726">
        <v>45140</v>
      </c>
      <c r="G23" s="726">
        <v>45156</v>
      </c>
      <c r="H23" s="726">
        <v>45168</v>
      </c>
      <c r="I23" s="727">
        <v>50000</v>
      </c>
      <c r="J23" s="724"/>
      <c r="K23" s="724"/>
      <c r="L23" s="724"/>
      <c r="M23" s="586"/>
      <c r="O23" s="215"/>
      <c r="V23" s="262"/>
      <c r="W23" s="255"/>
      <c r="AC23" s="262"/>
      <c r="AD23" s="82"/>
    </row>
    <row r="24" spans="1:31">
      <c r="A24" s="720" t="s">
        <v>2974</v>
      </c>
      <c r="B24" s="720" t="s">
        <v>174</v>
      </c>
      <c r="C24" s="725" t="s">
        <v>2973</v>
      </c>
      <c r="D24" s="725" t="s">
        <v>84</v>
      </c>
      <c r="E24" s="721" t="s">
        <v>33</v>
      </c>
      <c r="F24" s="726">
        <v>45140</v>
      </c>
      <c r="G24" s="726">
        <v>45156</v>
      </c>
      <c r="H24" s="726">
        <v>45168</v>
      </c>
      <c r="I24" s="727">
        <v>3846748</v>
      </c>
      <c r="J24" s="724"/>
      <c r="K24" s="724"/>
      <c r="L24" s="724"/>
      <c r="M24" s="586"/>
      <c r="O24" s="215"/>
      <c r="V24" s="262"/>
      <c r="W24" s="255"/>
      <c r="AC24" s="262"/>
      <c r="AD24" s="82"/>
    </row>
    <row r="25" spans="1:31">
      <c r="A25" s="721" t="s">
        <v>2975</v>
      </c>
      <c r="B25" s="721" t="s">
        <v>30</v>
      </c>
      <c r="C25" s="725" t="s">
        <v>2973</v>
      </c>
      <c r="D25" s="725" t="s">
        <v>84</v>
      </c>
      <c r="E25" s="721" t="s">
        <v>33</v>
      </c>
      <c r="F25" s="726">
        <v>45140</v>
      </c>
      <c r="G25" s="726">
        <v>45156</v>
      </c>
      <c r="H25" s="726">
        <v>45168</v>
      </c>
      <c r="I25" s="727">
        <v>54500</v>
      </c>
      <c r="J25" s="724">
        <f>SUM(I23:I25)</f>
        <v>3951248</v>
      </c>
      <c r="K25" s="724">
        <v>721704</v>
      </c>
      <c r="L25" s="724">
        <f>+J25-K25</f>
        <v>3229544</v>
      </c>
      <c r="M25" s="586"/>
      <c r="O25" s="215">
        <f t="shared" si="0"/>
        <v>3229544</v>
      </c>
      <c r="V25" s="262"/>
      <c r="W25" s="255"/>
      <c r="AC25" s="262"/>
      <c r="AD25" s="82"/>
    </row>
    <row r="26" spans="1:31">
      <c r="A26" s="721" t="s">
        <v>3461</v>
      </c>
      <c r="B26" s="721" t="s">
        <v>23</v>
      </c>
      <c r="C26" s="725" t="s">
        <v>3462</v>
      </c>
      <c r="D26" s="725" t="s">
        <v>3463</v>
      </c>
      <c r="E26" s="721" t="s">
        <v>33</v>
      </c>
      <c r="F26" s="726">
        <v>45244</v>
      </c>
      <c r="G26" s="726">
        <v>45327</v>
      </c>
      <c r="H26" s="726"/>
      <c r="I26" s="727">
        <v>191689.26</v>
      </c>
      <c r="J26" s="724"/>
      <c r="K26" s="724"/>
      <c r="L26" s="724"/>
      <c r="M26" s="586"/>
      <c r="O26" s="215"/>
      <c r="V26" s="262"/>
      <c r="W26" s="255"/>
      <c r="AC26" s="262"/>
      <c r="AD26" s="82"/>
    </row>
    <row r="27" spans="1:31">
      <c r="A27" s="721" t="s">
        <v>3464</v>
      </c>
      <c r="B27" s="721" t="s">
        <v>174</v>
      </c>
      <c r="C27" s="725" t="s">
        <v>3462</v>
      </c>
      <c r="D27" s="725" t="s">
        <v>3463</v>
      </c>
      <c r="E27" s="721" t="s">
        <v>33</v>
      </c>
      <c r="F27" s="726">
        <v>45244</v>
      </c>
      <c r="G27" s="726">
        <v>45327</v>
      </c>
      <c r="H27" s="726">
        <v>45337</v>
      </c>
      <c r="I27" s="727">
        <v>523859.94</v>
      </c>
      <c r="J27" s="724"/>
      <c r="K27" s="724"/>
      <c r="L27" s="724"/>
      <c r="M27" s="586"/>
      <c r="O27" s="215"/>
      <c r="V27" s="262"/>
      <c r="W27" s="255"/>
      <c r="AC27" s="262"/>
      <c r="AD27" s="82"/>
    </row>
    <row r="28" spans="1:31">
      <c r="A28" s="721" t="s">
        <v>3465</v>
      </c>
      <c r="B28" s="721" t="s">
        <v>23</v>
      </c>
      <c r="C28" s="725" t="s">
        <v>3462</v>
      </c>
      <c r="D28" s="725" t="s">
        <v>3463</v>
      </c>
      <c r="E28" s="721" t="s">
        <v>33</v>
      </c>
      <c r="F28" s="726">
        <v>45244</v>
      </c>
      <c r="G28" s="726">
        <v>45742</v>
      </c>
      <c r="H28" s="726">
        <v>45337</v>
      </c>
      <c r="I28" s="727">
        <v>7085.02</v>
      </c>
      <c r="J28" s="724">
        <f>+I28+I27+I26</f>
        <v>722634.22</v>
      </c>
      <c r="K28" s="724">
        <v>721704</v>
      </c>
      <c r="L28" s="724">
        <f>+J28-K28</f>
        <v>930.21999999997206</v>
      </c>
      <c r="M28" s="586"/>
      <c r="O28" s="215">
        <f t="shared" si="0"/>
        <v>930.21999999997206</v>
      </c>
      <c r="V28" s="262"/>
      <c r="W28" s="255"/>
      <c r="AC28" s="262"/>
      <c r="AD28" s="82"/>
    </row>
    <row r="29" spans="1:31">
      <c r="A29" s="728" t="s">
        <v>3054</v>
      </c>
      <c r="B29" s="725" t="s">
        <v>36</v>
      </c>
      <c r="C29" s="729" t="s">
        <v>2976</v>
      </c>
      <c r="D29" s="730" t="s">
        <v>43</v>
      </c>
      <c r="E29" s="721" t="s">
        <v>33</v>
      </c>
      <c r="F29" s="731">
        <v>44928</v>
      </c>
      <c r="G29" s="731">
        <v>44999</v>
      </c>
      <c r="H29" s="731">
        <v>45007</v>
      </c>
      <c r="I29" s="724">
        <v>675000</v>
      </c>
      <c r="J29" s="724"/>
      <c r="K29" s="724"/>
      <c r="L29" s="724"/>
      <c r="M29" s="586"/>
      <c r="O29" s="215"/>
      <c r="V29" s="262"/>
      <c r="W29" s="255"/>
      <c r="AC29" s="262"/>
      <c r="AD29" s="82"/>
    </row>
    <row r="30" spans="1:31">
      <c r="A30" s="728" t="s">
        <v>3055</v>
      </c>
      <c r="B30" s="725" t="s">
        <v>93</v>
      </c>
      <c r="C30" s="729" t="s">
        <v>2976</v>
      </c>
      <c r="D30" s="730" t="s">
        <v>43</v>
      </c>
      <c r="E30" s="721" t="s">
        <v>33</v>
      </c>
      <c r="F30" s="731">
        <v>44928</v>
      </c>
      <c r="G30" s="731">
        <v>44999</v>
      </c>
      <c r="H30" s="731">
        <v>45007</v>
      </c>
      <c r="I30" s="724">
        <v>205000</v>
      </c>
      <c r="J30" s="724"/>
      <c r="K30" s="724"/>
      <c r="L30" s="724"/>
      <c r="M30" s="586"/>
      <c r="O30" s="215"/>
      <c r="V30" s="262"/>
      <c r="W30" s="255"/>
      <c r="AC30" s="262"/>
      <c r="AD30" s="82"/>
    </row>
    <row r="31" spans="1:31">
      <c r="A31" s="728" t="s">
        <v>3056</v>
      </c>
      <c r="B31" s="725" t="s">
        <v>174</v>
      </c>
      <c r="C31" s="729" t="s">
        <v>2976</v>
      </c>
      <c r="D31" s="730" t="s">
        <v>43</v>
      </c>
      <c r="E31" s="721" t="s">
        <v>33</v>
      </c>
      <c r="F31" s="731">
        <v>44928</v>
      </c>
      <c r="G31" s="731">
        <v>44999</v>
      </c>
      <c r="H31" s="731">
        <v>45007</v>
      </c>
      <c r="I31" s="724">
        <v>200000</v>
      </c>
      <c r="J31" s="724"/>
      <c r="K31" s="724"/>
      <c r="L31" s="724"/>
      <c r="M31" s="586"/>
      <c r="O31" s="215"/>
      <c r="V31" s="262"/>
      <c r="W31" s="255"/>
      <c r="AC31" s="262"/>
      <c r="AD31" s="82"/>
    </row>
    <row r="32" spans="1:31">
      <c r="A32" s="728" t="s">
        <v>3057</v>
      </c>
      <c r="B32" s="725" t="s">
        <v>23</v>
      </c>
      <c r="C32" s="729" t="s">
        <v>2976</v>
      </c>
      <c r="D32" s="730" t="s">
        <v>43</v>
      </c>
      <c r="E32" s="721" t="s">
        <v>33</v>
      </c>
      <c r="F32" s="731">
        <v>44928</v>
      </c>
      <c r="G32" s="731">
        <v>44999</v>
      </c>
      <c r="H32" s="731">
        <v>45007</v>
      </c>
      <c r="I32" s="724">
        <v>107500</v>
      </c>
      <c r="J32" s="724">
        <f>SUM(I29:I32)</f>
        <v>1187500</v>
      </c>
      <c r="K32" s="724">
        <v>721704</v>
      </c>
      <c r="L32" s="724">
        <f>+J32-K32</f>
        <v>465796</v>
      </c>
      <c r="M32" s="586"/>
      <c r="O32" s="215">
        <f t="shared" si="0"/>
        <v>465796</v>
      </c>
      <c r="V32" s="262"/>
      <c r="W32" s="255"/>
      <c r="AC32" s="262"/>
      <c r="AD32" s="82"/>
    </row>
    <row r="33" spans="1:30">
      <c r="A33" s="720" t="s">
        <v>3021</v>
      </c>
      <c r="B33" s="720" t="s">
        <v>174</v>
      </c>
      <c r="C33" s="725" t="s">
        <v>3022</v>
      </c>
      <c r="D33" s="725" t="s">
        <v>603</v>
      </c>
      <c r="E33" s="721" t="s">
        <v>33</v>
      </c>
      <c r="F33" s="726">
        <v>45174</v>
      </c>
      <c r="G33" s="726">
        <v>45197</v>
      </c>
      <c r="H33" s="726">
        <v>45210</v>
      </c>
      <c r="I33" s="727">
        <v>1213180.82</v>
      </c>
      <c r="J33" s="724"/>
      <c r="K33" s="724"/>
      <c r="L33" s="724"/>
      <c r="M33" s="586"/>
      <c r="O33" s="215"/>
      <c r="V33" s="262"/>
      <c r="W33" s="255"/>
      <c r="AC33" s="262"/>
      <c r="AD33" s="82"/>
    </row>
    <row r="34" spans="1:30">
      <c r="A34" s="732" t="s">
        <v>3023</v>
      </c>
      <c r="B34" s="720" t="s">
        <v>23</v>
      </c>
      <c r="C34" s="725" t="s">
        <v>3022</v>
      </c>
      <c r="D34" s="725" t="s">
        <v>603</v>
      </c>
      <c r="E34" s="721" t="s">
        <v>33</v>
      </c>
      <c r="F34" s="726">
        <v>45174</v>
      </c>
      <c r="G34" s="726">
        <v>45196</v>
      </c>
      <c r="H34" s="726">
        <v>45210</v>
      </c>
      <c r="I34" s="727">
        <v>107530.24000000001</v>
      </c>
      <c r="J34" s="724">
        <f>+I34+I33</f>
        <v>1320711.06</v>
      </c>
      <c r="K34" s="724">
        <v>721704</v>
      </c>
      <c r="L34" s="724">
        <f>+J34-K34</f>
        <v>599007.06000000006</v>
      </c>
      <c r="M34" s="586"/>
      <c r="O34" s="215">
        <f t="shared" si="0"/>
        <v>599007.06000000006</v>
      </c>
      <c r="V34" s="262"/>
      <c r="W34" s="255"/>
      <c r="AC34" s="262"/>
      <c r="AD34" s="82"/>
    </row>
    <row r="35" spans="1:30">
      <c r="A35" s="732" t="s">
        <v>3121</v>
      </c>
      <c r="B35" s="720" t="s">
        <v>174</v>
      </c>
      <c r="C35" s="720" t="s">
        <v>3122</v>
      </c>
      <c r="D35" s="720" t="s">
        <v>38</v>
      </c>
      <c r="E35" s="721" t="s">
        <v>33</v>
      </c>
      <c r="F35" s="722">
        <v>45167</v>
      </c>
      <c r="G35" s="722">
        <v>45344</v>
      </c>
      <c r="H35" s="722">
        <v>45349</v>
      </c>
      <c r="I35" s="723">
        <v>400000</v>
      </c>
      <c r="J35" s="724"/>
      <c r="K35" s="724"/>
      <c r="L35" s="724"/>
      <c r="M35" s="586"/>
      <c r="O35" s="215"/>
      <c r="V35" s="262"/>
      <c r="W35" s="255"/>
      <c r="AC35" s="262"/>
      <c r="AD35" s="82"/>
    </row>
    <row r="36" spans="1:30">
      <c r="A36" s="732" t="s">
        <v>3123</v>
      </c>
      <c r="B36" s="720" t="s">
        <v>174</v>
      </c>
      <c r="C36" s="720" t="s">
        <v>3122</v>
      </c>
      <c r="D36" s="720" t="s">
        <v>38</v>
      </c>
      <c r="E36" s="721" t="s">
        <v>33</v>
      </c>
      <c r="F36" s="722">
        <v>45167</v>
      </c>
      <c r="G36" s="722">
        <v>45344</v>
      </c>
      <c r="H36" s="722">
        <v>45350</v>
      </c>
      <c r="I36" s="723">
        <v>79840.87</v>
      </c>
      <c r="J36" s="724"/>
      <c r="K36" s="724"/>
      <c r="L36" s="724"/>
      <c r="M36" s="586"/>
      <c r="O36" s="215"/>
      <c r="V36" s="262"/>
      <c r="W36" s="255"/>
      <c r="AC36" s="262"/>
      <c r="AD36" s="82"/>
    </row>
    <row r="37" spans="1:30">
      <c r="A37" s="732" t="s">
        <v>3124</v>
      </c>
      <c r="B37" s="720" t="s">
        <v>93</v>
      </c>
      <c r="C37" s="720" t="s">
        <v>3122</v>
      </c>
      <c r="D37" s="720" t="s">
        <v>38</v>
      </c>
      <c r="E37" s="721" t="s">
        <v>33</v>
      </c>
      <c r="F37" s="722">
        <v>45167</v>
      </c>
      <c r="G37" s="722">
        <v>45392</v>
      </c>
      <c r="H37" s="722">
        <v>45399</v>
      </c>
      <c r="I37" s="723">
        <v>610000</v>
      </c>
      <c r="J37" s="724"/>
      <c r="K37" s="724"/>
      <c r="L37" s="724"/>
      <c r="M37" s="586"/>
      <c r="O37" s="215"/>
      <c r="V37" s="262"/>
      <c r="W37" s="255"/>
      <c r="AC37" s="262"/>
      <c r="AD37" s="82"/>
    </row>
    <row r="38" spans="1:30">
      <c r="A38" s="732" t="s">
        <v>3125</v>
      </c>
      <c r="B38" s="720" t="s">
        <v>1917</v>
      </c>
      <c r="C38" s="720" t="s">
        <v>3122</v>
      </c>
      <c r="D38" s="720" t="s">
        <v>38</v>
      </c>
      <c r="E38" s="721" t="s">
        <v>33</v>
      </c>
      <c r="F38" s="722">
        <v>45167</v>
      </c>
      <c r="G38" s="722">
        <v>45356</v>
      </c>
      <c r="H38" s="722">
        <v>45365</v>
      </c>
      <c r="I38" s="723">
        <v>20000</v>
      </c>
      <c r="J38" s="724"/>
      <c r="K38" s="724"/>
      <c r="L38" s="724"/>
      <c r="M38" s="586"/>
      <c r="O38" s="215"/>
      <c r="V38" s="262"/>
      <c r="W38" s="255"/>
      <c r="AC38" s="262"/>
      <c r="AD38" s="82"/>
    </row>
    <row r="39" spans="1:30">
      <c r="A39" s="732" t="s">
        <v>3126</v>
      </c>
      <c r="B39" s="720" t="s">
        <v>174</v>
      </c>
      <c r="C39" s="720" t="s">
        <v>3122</v>
      </c>
      <c r="D39" s="720" t="s">
        <v>38</v>
      </c>
      <c r="E39" s="721" t="s">
        <v>33</v>
      </c>
      <c r="F39" s="722">
        <v>45167</v>
      </c>
      <c r="G39" s="722">
        <v>45356</v>
      </c>
      <c r="H39" s="722">
        <v>45365</v>
      </c>
      <c r="I39" s="723">
        <v>2002.71</v>
      </c>
      <c r="J39" s="724"/>
      <c r="K39" s="724"/>
      <c r="L39" s="724"/>
      <c r="M39" s="586"/>
      <c r="O39" s="215"/>
      <c r="V39" s="262"/>
      <c r="W39" s="255"/>
      <c r="AC39" s="262"/>
      <c r="AD39" s="82"/>
    </row>
    <row r="40" spans="1:30">
      <c r="A40" s="732" t="s">
        <v>3127</v>
      </c>
      <c r="B40" s="720" t="s">
        <v>23</v>
      </c>
      <c r="C40" s="720" t="s">
        <v>3122</v>
      </c>
      <c r="D40" s="720" t="s">
        <v>38</v>
      </c>
      <c r="E40" s="721" t="s">
        <v>33</v>
      </c>
      <c r="F40" s="722">
        <v>45167</v>
      </c>
      <c r="G40" s="722">
        <v>45356</v>
      </c>
      <c r="H40" s="722">
        <v>45365</v>
      </c>
      <c r="I40" s="723">
        <v>14636.22</v>
      </c>
      <c r="J40" s="724">
        <f>SUM(I35:I40)</f>
        <v>1126479.8</v>
      </c>
      <c r="K40" s="724">
        <v>721704</v>
      </c>
      <c r="L40" s="724">
        <f>+J40-K40</f>
        <v>404775.80000000005</v>
      </c>
      <c r="M40" s="586"/>
      <c r="O40" s="215">
        <f t="shared" si="0"/>
        <v>404775.80000000005</v>
      </c>
      <c r="V40" s="262"/>
      <c r="W40" s="255"/>
      <c r="AC40" s="262"/>
      <c r="AD40" s="82"/>
    </row>
    <row r="41" spans="1:30">
      <c r="A41" s="732" t="s">
        <v>3137</v>
      </c>
      <c r="B41" s="720" t="s">
        <v>93</v>
      </c>
      <c r="C41" s="720" t="s">
        <v>3228</v>
      </c>
      <c r="D41" s="720" t="s">
        <v>3229</v>
      </c>
      <c r="E41" s="721" t="s">
        <v>33</v>
      </c>
      <c r="F41" s="722">
        <v>45131</v>
      </c>
      <c r="G41" s="722">
        <v>45223</v>
      </c>
      <c r="H41" s="722">
        <v>45226</v>
      </c>
      <c r="I41" s="723">
        <v>373850</v>
      </c>
      <c r="J41" s="724"/>
      <c r="K41" s="724"/>
      <c r="L41" s="724"/>
      <c r="M41" s="586"/>
      <c r="O41" s="215"/>
      <c r="V41" s="262"/>
      <c r="W41" s="255"/>
      <c r="AC41" s="262"/>
      <c r="AD41" s="82"/>
    </row>
    <row r="42" spans="1:30">
      <c r="A42" s="732" t="s">
        <v>3230</v>
      </c>
      <c r="B42" s="720" t="s">
        <v>174</v>
      </c>
      <c r="C42" s="720" t="s">
        <v>3228</v>
      </c>
      <c r="D42" s="720" t="s">
        <v>3229</v>
      </c>
      <c r="E42" s="721" t="s">
        <v>33</v>
      </c>
      <c r="F42" s="722">
        <v>45131</v>
      </c>
      <c r="G42" s="722">
        <v>45223</v>
      </c>
      <c r="H42" s="722">
        <v>45226</v>
      </c>
      <c r="I42" s="723">
        <v>288235.75</v>
      </c>
      <c r="J42" s="724"/>
      <c r="K42" s="724"/>
      <c r="L42" s="724"/>
      <c r="M42" s="586"/>
      <c r="O42" s="215"/>
      <c r="V42" s="262"/>
      <c r="W42" s="255"/>
      <c r="AC42" s="262"/>
      <c r="AD42" s="82"/>
    </row>
    <row r="43" spans="1:30">
      <c r="A43" s="732" t="s">
        <v>3145</v>
      </c>
      <c r="B43" s="720" t="s">
        <v>23</v>
      </c>
      <c r="C43" s="720" t="s">
        <v>3228</v>
      </c>
      <c r="D43" s="720" t="s">
        <v>3229</v>
      </c>
      <c r="E43" s="721" t="s">
        <v>33</v>
      </c>
      <c r="F43" s="722">
        <v>45131</v>
      </c>
      <c r="G43" s="722">
        <v>45223</v>
      </c>
      <c r="H43" s="722">
        <v>45226</v>
      </c>
      <c r="I43" s="723">
        <v>17861.88</v>
      </c>
      <c r="J43" s="724"/>
      <c r="K43" s="724"/>
      <c r="L43" s="724"/>
      <c r="M43" s="586"/>
      <c r="O43" s="215"/>
      <c r="V43" s="262"/>
      <c r="W43" s="255"/>
      <c r="AC43" s="262"/>
      <c r="AD43" s="82"/>
    </row>
    <row r="44" spans="1:30">
      <c r="A44" s="732" t="s">
        <v>3147</v>
      </c>
      <c r="B44" s="720" t="s">
        <v>1985</v>
      </c>
      <c r="C44" s="720" t="s">
        <v>3228</v>
      </c>
      <c r="D44" s="720" t="s">
        <v>3231</v>
      </c>
      <c r="E44" s="721" t="s">
        <v>33</v>
      </c>
      <c r="F44" s="722">
        <v>45131</v>
      </c>
      <c r="G44" s="722">
        <v>45377</v>
      </c>
      <c r="H44" s="722">
        <v>45428</v>
      </c>
      <c r="I44" s="723">
        <v>110000</v>
      </c>
      <c r="J44" s="724">
        <f>SUM(I41:I44)</f>
        <v>789947.63</v>
      </c>
      <c r="K44" s="724">
        <v>721704</v>
      </c>
      <c r="L44" s="724">
        <f>+J44-K44</f>
        <v>68243.63</v>
      </c>
      <c r="M44" s="586"/>
      <c r="O44" s="215">
        <f t="shared" si="0"/>
        <v>68243.63</v>
      </c>
      <c r="V44" s="262"/>
      <c r="W44" s="255"/>
      <c r="AC44" s="262"/>
      <c r="AD44" s="82"/>
    </row>
    <row r="45" spans="1:30">
      <c r="A45" s="732" t="s">
        <v>3024</v>
      </c>
      <c r="B45" s="720" t="s">
        <v>174</v>
      </c>
      <c r="C45" s="725" t="s">
        <v>3025</v>
      </c>
      <c r="D45" s="725" t="s">
        <v>3026</v>
      </c>
      <c r="E45" s="721" t="s">
        <v>33</v>
      </c>
      <c r="F45" s="726">
        <v>44944</v>
      </c>
      <c r="G45" s="726">
        <v>45191</v>
      </c>
      <c r="H45" s="726">
        <v>45226</v>
      </c>
      <c r="I45" s="727">
        <v>1500000</v>
      </c>
      <c r="J45" s="724">
        <f>+I45</f>
        <v>1500000</v>
      </c>
      <c r="K45" s="724">
        <v>721704</v>
      </c>
      <c r="L45" s="724">
        <f>+J45-K45</f>
        <v>778296</v>
      </c>
      <c r="M45" s="586"/>
      <c r="O45" s="215">
        <f t="shared" si="0"/>
        <v>778296</v>
      </c>
      <c r="V45" s="262"/>
      <c r="W45" s="255"/>
      <c r="AC45" s="262"/>
      <c r="AD45" s="82"/>
    </row>
    <row r="46" spans="1:30">
      <c r="A46" s="732" t="s">
        <v>2977</v>
      </c>
      <c r="B46" s="720" t="s">
        <v>174</v>
      </c>
      <c r="C46" s="720" t="s">
        <v>2978</v>
      </c>
      <c r="D46" s="720" t="s">
        <v>2979</v>
      </c>
      <c r="E46" s="721" t="s">
        <v>33</v>
      </c>
      <c r="F46" s="722">
        <v>45043</v>
      </c>
      <c r="G46" s="722">
        <v>45110</v>
      </c>
      <c r="H46" s="722">
        <v>45167</v>
      </c>
      <c r="I46" s="723">
        <v>810000</v>
      </c>
      <c r="J46" s="724"/>
      <c r="K46" s="724"/>
      <c r="L46" s="724"/>
      <c r="M46" s="586"/>
      <c r="O46" s="215"/>
      <c r="V46" s="262"/>
      <c r="W46" s="255"/>
      <c r="AC46" s="262"/>
      <c r="AD46" s="82"/>
    </row>
    <row r="47" spans="1:30">
      <c r="A47" s="732" t="s">
        <v>2980</v>
      </c>
      <c r="B47" s="720" t="s">
        <v>23</v>
      </c>
      <c r="C47" s="720" t="s">
        <v>2978</v>
      </c>
      <c r="D47" s="720" t="s">
        <v>2979</v>
      </c>
      <c r="E47" s="721" t="s">
        <v>33</v>
      </c>
      <c r="F47" s="722">
        <v>45043</v>
      </c>
      <c r="G47" s="722">
        <v>45110</v>
      </c>
      <c r="H47" s="722">
        <v>45154</v>
      </c>
      <c r="I47" s="723">
        <v>160500</v>
      </c>
      <c r="J47" s="724">
        <f>+I47+I46</f>
        <v>970500</v>
      </c>
      <c r="K47" s="724">
        <v>721704</v>
      </c>
      <c r="L47" s="724">
        <f>+J47-K47</f>
        <v>248796</v>
      </c>
      <c r="M47" s="586"/>
      <c r="O47" s="215">
        <f t="shared" si="0"/>
        <v>248796</v>
      </c>
      <c r="V47" s="262"/>
      <c r="W47" s="255"/>
      <c r="AC47" s="262"/>
      <c r="AD47" s="82"/>
    </row>
    <row r="48" spans="1:30">
      <c r="A48" s="732" t="s">
        <v>3129</v>
      </c>
      <c r="B48" s="720" t="s">
        <v>23</v>
      </c>
      <c r="C48" s="720" t="s">
        <v>3130</v>
      </c>
      <c r="D48" s="720" t="s">
        <v>3131</v>
      </c>
      <c r="E48" s="721" t="s">
        <v>33</v>
      </c>
      <c r="F48" s="722">
        <v>45253</v>
      </c>
      <c r="G48" s="722">
        <v>45303</v>
      </c>
      <c r="H48" s="722">
        <v>45320</v>
      </c>
      <c r="I48" s="723">
        <v>59453.94</v>
      </c>
      <c r="J48" s="724"/>
      <c r="K48" s="724"/>
      <c r="L48" s="724"/>
      <c r="M48" s="586"/>
      <c r="O48" s="215"/>
      <c r="V48" s="262"/>
      <c r="W48" s="255"/>
      <c r="AC48" s="262"/>
      <c r="AD48" s="82"/>
    </row>
    <row r="49" spans="1:30">
      <c r="A49" s="732" t="s">
        <v>3132</v>
      </c>
      <c r="B49" s="720" t="s">
        <v>174</v>
      </c>
      <c r="C49" s="720" t="s">
        <v>3130</v>
      </c>
      <c r="D49" s="720" t="s">
        <v>3131</v>
      </c>
      <c r="E49" s="721" t="s">
        <v>33</v>
      </c>
      <c r="F49" s="722">
        <v>45253</v>
      </c>
      <c r="G49" s="722">
        <v>45303</v>
      </c>
      <c r="H49" s="722">
        <v>45320</v>
      </c>
      <c r="I49" s="723">
        <v>43000</v>
      </c>
      <c r="J49" s="724"/>
      <c r="K49" s="724"/>
      <c r="L49" s="724"/>
      <c r="M49" s="586"/>
      <c r="O49" s="215"/>
      <c r="V49" s="262"/>
      <c r="W49" s="255"/>
      <c r="AC49" s="262"/>
      <c r="AD49" s="82"/>
    </row>
    <row r="50" spans="1:30">
      <c r="A50" s="732" t="s">
        <v>3133</v>
      </c>
      <c r="B50" s="720" t="s">
        <v>1917</v>
      </c>
      <c r="C50" s="720" t="s">
        <v>3130</v>
      </c>
      <c r="D50" s="720" t="s">
        <v>3131</v>
      </c>
      <c r="E50" s="721" t="s">
        <v>33</v>
      </c>
      <c r="F50" s="722">
        <v>45253</v>
      </c>
      <c r="G50" s="722">
        <v>45303</v>
      </c>
      <c r="H50" s="722">
        <v>45320</v>
      </c>
      <c r="I50" s="723">
        <v>100000</v>
      </c>
      <c r="J50" s="724"/>
      <c r="K50" s="724"/>
      <c r="L50" s="724"/>
      <c r="M50" s="586"/>
      <c r="O50" s="215"/>
      <c r="V50" s="262"/>
      <c r="W50" s="255"/>
      <c r="AC50" s="262"/>
      <c r="AD50" s="82"/>
    </row>
    <row r="51" spans="1:30">
      <c r="A51" s="732" t="s">
        <v>3134</v>
      </c>
      <c r="B51" s="720" t="s">
        <v>93</v>
      </c>
      <c r="C51" s="720" t="s">
        <v>3130</v>
      </c>
      <c r="D51" s="720" t="s">
        <v>3131</v>
      </c>
      <c r="E51" s="721" t="s">
        <v>33</v>
      </c>
      <c r="F51" s="722">
        <v>45253</v>
      </c>
      <c r="G51" s="722">
        <v>45303</v>
      </c>
      <c r="H51" s="722">
        <v>45320</v>
      </c>
      <c r="I51" s="723">
        <v>515000</v>
      </c>
      <c r="J51" s="724"/>
      <c r="K51" s="724"/>
      <c r="L51" s="724"/>
      <c r="M51" s="586"/>
      <c r="O51" s="215"/>
      <c r="V51" s="262"/>
      <c r="W51" s="255"/>
      <c r="AC51" s="262"/>
      <c r="AD51" s="82"/>
    </row>
    <row r="52" spans="1:30">
      <c r="A52" s="732" t="s">
        <v>3135</v>
      </c>
      <c r="B52" s="720" t="s">
        <v>93</v>
      </c>
      <c r="C52" s="720" t="s">
        <v>3130</v>
      </c>
      <c r="D52" s="720" t="s">
        <v>3131</v>
      </c>
      <c r="E52" s="721" t="s">
        <v>33</v>
      </c>
      <c r="F52" s="722">
        <v>45253</v>
      </c>
      <c r="G52" s="722">
        <v>45303</v>
      </c>
      <c r="H52" s="722">
        <v>45320</v>
      </c>
      <c r="I52" s="723">
        <v>813000</v>
      </c>
      <c r="J52" s="724"/>
      <c r="K52" s="724"/>
      <c r="L52" s="724"/>
      <c r="M52" s="586"/>
      <c r="O52" s="215"/>
      <c r="V52" s="262"/>
      <c r="W52" s="255"/>
      <c r="AC52" s="262"/>
      <c r="AD52" s="82"/>
    </row>
    <row r="53" spans="1:30">
      <c r="A53" s="732" t="s">
        <v>3136</v>
      </c>
      <c r="B53" s="720" t="s">
        <v>23</v>
      </c>
      <c r="C53" s="720" t="s">
        <v>3130</v>
      </c>
      <c r="D53" s="720" t="s">
        <v>3131</v>
      </c>
      <c r="E53" s="721" t="s">
        <v>33</v>
      </c>
      <c r="F53" s="722">
        <v>45253</v>
      </c>
      <c r="G53" s="722">
        <v>45336</v>
      </c>
      <c r="H53" s="722">
        <v>45341</v>
      </c>
      <c r="I53" s="723">
        <v>32901.910000000003</v>
      </c>
      <c r="J53" s="724">
        <f>SUM(I48:I53)</f>
        <v>1563355.8499999999</v>
      </c>
      <c r="K53" s="724">
        <v>721704</v>
      </c>
      <c r="L53" s="724">
        <f>+J53-K53</f>
        <v>841651.84999999986</v>
      </c>
      <c r="M53" s="586"/>
      <c r="O53" s="215">
        <f t="shared" si="0"/>
        <v>841651.84999999986</v>
      </c>
      <c r="V53" s="262"/>
      <c r="W53" s="255"/>
      <c r="AC53" s="262"/>
      <c r="AD53" s="82"/>
    </row>
    <row r="54" spans="1:30">
      <c r="A54" s="733" t="s">
        <v>2981</v>
      </c>
      <c r="B54" s="725" t="s">
        <v>174</v>
      </c>
      <c r="C54" s="729" t="s">
        <v>2982</v>
      </c>
      <c r="D54" s="730" t="s">
        <v>3232</v>
      </c>
      <c r="E54" s="721" t="s">
        <v>33</v>
      </c>
      <c r="F54" s="731">
        <v>44999</v>
      </c>
      <c r="G54" s="731">
        <v>45071</v>
      </c>
      <c r="H54" s="731">
        <v>45076</v>
      </c>
      <c r="I54" s="724">
        <v>665000</v>
      </c>
      <c r="J54" s="724"/>
      <c r="K54" s="724"/>
      <c r="L54" s="724"/>
      <c r="M54" s="586"/>
      <c r="O54" s="215"/>
      <c r="V54" s="262"/>
      <c r="W54" s="255"/>
      <c r="AC54" s="262"/>
      <c r="AD54" s="82"/>
    </row>
    <row r="55" spans="1:30">
      <c r="A55" s="733" t="s">
        <v>2983</v>
      </c>
      <c r="B55" s="725" t="s">
        <v>23</v>
      </c>
      <c r="C55" s="729" t="s">
        <v>2982</v>
      </c>
      <c r="D55" s="730" t="s">
        <v>3232</v>
      </c>
      <c r="E55" s="721" t="s">
        <v>33</v>
      </c>
      <c r="F55" s="731">
        <v>44999</v>
      </c>
      <c r="G55" s="731">
        <v>45071</v>
      </c>
      <c r="H55" s="731">
        <v>45076</v>
      </c>
      <c r="I55" s="724">
        <v>105731.46</v>
      </c>
      <c r="J55" s="724"/>
      <c r="K55" s="724"/>
      <c r="L55" s="724"/>
      <c r="M55" s="586"/>
      <c r="O55" s="215"/>
      <c r="V55" s="262"/>
      <c r="W55" s="255"/>
      <c r="AC55" s="262"/>
      <c r="AD55" s="82"/>
    </row>
    <row r="56" spans="1:30">
      <c r="A56" s="733" t="s">
        <v>2984</v>
      </c>
      <c r="B56" s="725" t="s">
        <v>1900</v>
      </c>
      <c r="C56" s="729" t="s">
        <v>2982</v>
      </c>
      <c r="D56" s="730" t="s">
        <v>3058</v>
      </c>
      <c r="E56" s="721" t="s">
        <v>33</v>
      </c>
      <c r="F56" s="731">
        <v>44999</v>
      </c>
      <c r="G56" s="731">
        <v>45041</v>
      </c>
      <c r="H56" s="731">
        <v>45044</v>
      </c>
      <c r="I56" s="724">
        <v>65000</v>
      </c>
      <c r="J56" s="724"/>
      <c r="K56" s="724"/>
      <c r="L56" s="724"/>
      <c r="M56" s="586"/>
      <c r="O56" s="215"/>
      <c r="V56" s="262"/>
      <c r="W56" s="255"/>
      <c r="AC56" s="262"/>
      <c r="AD56" s="82"/>
    </row>
    <row r="57" spans="1:30">
      <c r="A57" s="733" t="s">
        <v>2985</v>
      </c>
      <c r="B57" s="725" t="s">
        <v>23</v>
      </c>
      <c r="C57" s="729" t="s">
        <v>2982</v>
      </c>
      <c r="D57" s="730" t="s">
        <v>3058</v>
      </c>
      <c r="E57" s="721" t="s">
        <v>33</v>
      </c>
      <c r="F57" s="731">
        <v>44999</v>
      </c>
      <c r="G57" s="731">
        <v>45041</v>
      </c>
      <c r="H57" s="731">
        <v>45054</v>
      </c>
      <c r="I57" s="724">
        <v>11988.65</v>
      </c>
      <c r="J57" s="724">
        <f>SUM(I54:I57)</f>
        <v>847720.11</v>
      </c>
      <c r="K57" s="724">
        <v>721704</v>
      </c>
      <c r="L57" s="724">
        <f>+J57-K57</f>
        <v>126016.10999999999</v>
      </c>
      <c r="M57" s="586"/>
      <c r="O57" s="215">
        <f t="shared" si="0"/>
        <v>126016.10999999999</v>
      </c>
      <c r="V57" s="262"/>
      <c r="W57" s="255"/>
      <c r="AC57" s="262"/>
      <c r="AD57" s="82"/>
    </row>
    <row r="58" spans="1:30">
      <c r="A58" s="733" t="s">
        <v>2986</v>
      </c>
      <c r="B58" s="725" t="s">
        <v>174</v>
      </c>
      <c r="C58" s="729" t="s">
        <v>2987</v>
      </c>
      <c r="D58" s="730" t="s">
        <v>2988</v>
      </c>
      <c r="E58" s="721" t="s">
        <v>33</v>
      </c>
      <c r="F58" s="731">
        <v>44950</v>
      </c>
      <c r="G58" s="731">
        <v>45040</v>
      </c>
      <c r="H58" s="731">
        <v>45063</v>
      </c>
      <c r="I58" s="724">
        <v>1049572.0900000001</v>
      </c>
      <c r="J58" s="724">
        <f>+I58</f>
        <v>1049572.0900000001</v>
      </c>
      <c r="K58" s="724">
        <v>721704</v>
      </c>
      <c r="L58" s="724">
        <f>+J58-K58</f>
        <v>327868.09000000008</v>
      </c>
      <c r="M58" s="586"/>
      <c r="O58" s="215">
        <f t="shared" si="0"/>
        <v>327868.09000000008</v>
      </c>
      <c r="V58" s="262"/>
      <c r="W58" s="255"/>
      <c r="AC58" s="262"/>
      <c r="AD58" s="82"/>
    </row>
    <row r="59" spans="1:30">
      <c r="A59" s="732" t="s">
        <v>3036</v>
      </c>
      <c r="B59" s="720" t="s">
        <v>174</v>
      </c>
      <c r="C59" s="725" t="s">
        <v>3037</v>
      </c>
      <c r="D59" s="725" t="s">
        <v>3038</v>
      </c>
      <c r="E59" s="721" t="s">
        <v>33</v>
      </c>
      <c r="F59" s="726">
        <v>45108</v>
      </c>
      <c r="G59" s="726">
        <v>45175</v>
      </c>
      <c r="H59" s="726">
        <v>45181</v>
      </c>
      <c r="I59" s="727">
        <v>314415.65000000002</v>
      </c>
      <c r="J59" s="724"/>
      <c r="K59" s="724"/>
      <c r="L59" s="724"/>
      <c r="M59" s="586"/>
      <c r="O59" s="215"/>
      <c r="V59" s="262"/>
      <c r="W59" s="255"/>
      <c r="AC59" s="262"/>
      <c r="AD59" s="82"/>
    </row>
    <row r="60" spans="1:30">
      <c r="A60" s="732" t="s">
        <v>3039</v>
      </c>
      <c r="B60" s="720" t="s">
        <v>23</v>
      </c>
      <c r="C60" s="725" t="s">
        <v>3037</v>
      </c>
      <c r="D60" s="725" t="s">
        <v>3038</v>
      </c>
      <c r="E60" s="721" t="s">
        <v>33</v>
      </c>
      <c r="F60" s="726">
        <v>45108</v>
      </c>
      <c r="G60" s="726">
        <v>45175</v>
      </c>
      <c r="H60" s="726">
        <v>45181</v>
      </c>
      <c r="I60" s="727">
        <v>115029.75</v>
      </c>
      <c r="J60" s="724"/>
      <c r="K60" s="724"/>
      <c r="L60" s="724"/>
      <c r="M60" s="586"/>
      <c r="O60" s="215"/>
      <c r="V60" s="262"/>
      <c r="W60" s="255"/>
      <c r="AC60" s="262"/>
      <c r="AD60" s="82"/>
    </row>
    <row r="61" spans="1:30">
      <c r="A61" s="734" t="s">
        <v>3040</v>
      </c>
      <c r="B61" s="721" t="s">
        <v>174</v>
      </c>
      <c r="C61" s="725" t="s">
        <v>3037</v>
      </c>
      <c r="D61" s="725" t="s">
        <v>3038</v>
      </c>
      <c r="E61" s="721" t="s">
        <v>33</v>
      </c>
      <c r="F61" s="726">
        <v>45108</v>
      </c>
      <c r="G61" s="726">
        <v>45232</v>
      </c>
      <c r="H61" s="726">
        <v>45253</v>
      </c>
      <c r="I61" s="727">
        <v>847474.76</v>
      </c>
      <c r="J61" s="724"/>
      <c r="K61" s="724"/>
      <c r="L61" s="724"/>
      <c r="M61" s="586"/>
      <c r="O61" s="215"/>
      <c r="V61" s="262"/>
      <c r="W61" s="255"/>
      <c r="AC61" s="262"/>
      <c r="AD61" s="82"/>
    </row>
    <row r="62" spans="1:30">
      <c r="A62" s="732" t="s">
        <v>3041</v>
      </c>
      <c r="B62" s="720" t="s">
        <v>23</v>
      </c>
      <c r="C62" s="720" t="s">
        <v>3037</v>
      </c>
      <c r="D62" s="720" t="s">
        <v>3038</v>
      </c>
      <c r="E62" s="721" t="s">
        <v>33</v>
      </c>
      <c r="F62" s="722">
        <v>45108</v>
      </c>
      <c r="G62" s="722">
        <v>45232</v>
      </c>
      <c r="H62" s="722">
        <v>45251</v>
      </c>
      <c r="I62" s="723">
        <v>110000</v>
      </c>
      <c r="J62" s="724">
        <f>SUM(I59:I62)</f>
        <v>1386920.1600000001</v>
      </c>
      <c r="K62" s="724">
        <v>721704</v>
      </c>
      <c r="L62" s="724">
        <f>+J62-K62</f>
        <v>665216.16000000015</v>
      </c>
      <c r="M62" s="586"/>
      <c r="O62" s="215">
        <f t="shared" si="0"/>
        <v>665216.16000000015</v>
      </c>
      <c r="V62" s="262"/>
      <c r="W62" s="255"/>
      <c r="AC62" s="262"/>
      <c r="AD62" s="82"/>
    </row>
    <row r="63" spans="1:30">
      <c r="A63" s="732" t="s">
        <v>3137</v>
      </c>
      <c r="B63" s="720" t="s">
        <v>174</v>
      </c>
      <c r="C63" s="720" t="s">
        <v>3138</v>
      </c>
      <c r="D63" s="720" t="s">
        <v>1652</v>
      </c>
      <c r="E63" s="721" t="s">
        <v>33</v>
      </c>
      <c r="F63" s="722">
        <v>45277</v>
      </c>
      <c r="G63" s="722">
        <v>45330</v>
      </c>
      <c r="H63" s="722">
        <v>45341</v>
      </c>
      <c r="I63" s="723">
        <v>1107585.4099999999</v>
      </c>
      <c r="J63" s="724"/>
      <c r="K63" s="724"/>
      <c r="L63" s="724"/>
      <c r="M63" s="586"/>
      <c r="O63" s="215"/>
      <c r="V63" s="262"/>
      <c r="W63" s="255"/>
      <c r="AC63" s="262"/>
      <c r="AD63" s="82"/>
    </row>
    <row r="64" spans="1:30">
      <c r="A64" s="732" t="s">
        <v>3139</v>
      </c>
      <c r="B64" s="720" t="s">
        <v>1985</v>
      </c>
      <c r="C64" s="720" t="s">
        <v>3138</v>
      </c>
      <c r="D64" s="720" t="s">
        <v>1652</v>
      </c>
      <c r="E64" s="721" t="s">
        <v>33</v>
      </c>
      <c r="F64" s="722">
        <v>45277</v>
      </c>
      <c r="G64" s="722">
        <v>45287</v>
      </c>
      <c r="H64" s="722">
        <v>45370</v>
      </c>
      <c r="I64" s="723">
        <v>110000</v>
      </c>
      <c r="J64" s="724">
        <f>+I64+I63</f>
        <v>1217585.4099999999</v>
      </c>
      <c r="K64" s="724">
        <v>721704</v>
      </c>
      <c r="L64" s="724">
        <f>+J64-K64</f>
        <v>495881.40999999992</v>
      </c>
      <c r="M64" s="586"/>
      <c r="O64" s="215">
        <f t="shared" si="0"/>
        <v>495881.40999999992</v>
      </c>
      <c r="V64" s="262"/>
      <c r="W64" s="255"/>
      <c r="AC64" s="262"/>
      <c r="AD64" s="82"/>
    </row>
    <row r="65" spans="1:30">
      <c r="A65" s="733" t="s">
        <v>2989</v>
      </c>
      <c r="B65" s="725" t="s">
        <v>174</v>
      </c>
      <c r="C65" s="729" t="s">
        <v>2990</v>
      </c>
      <c r="D65" s="730" t="s">
        <v>38</v>
      </c>
      <c r="E65" s="721" t="s">
        <v>33</v>
      </c>
      <c r="F65" s="731">
        <v>44957</v>
      </c>
      <c r="G65" s="731">
        <v>45054</v>
      </c>
      <c r="H65" s="731">
        <v>45070</v>
      </c>
      <c r="I65" s="724">
        <v>1500000</v>
      </c>
      <c r="J65" s="724"/>
      <c r="K65" s="724"/>
      <c r="L65" s="724"/>
      <c r="M65" s="586"/>
      <c r="O65" s="215"/>
      <c r="V65" s="262"/>
      <c r="W65" s="255"/>
      <c r="AC65" s="262"/>
      <c r="AD65" s="82"/>
    </row>
    <row r="66" spans="1:30">
      <c r="A66" s="733" t="s">
        <v>2991</v>
      </c>
      <c r="B66" s="725" t="s">
        <v>23</v>
      </c>
      <c r="C66" s="729" t="s">
        <v>2990</v>
      </c>
      <c r="D66" s="730" t="s">
        <v>38</v>
      </c>
      <c r="E66" s="721" t="s">
        <v>33</v>
      </c>
      <c r="F66" s="731">
        <v>44957</v>
      </c>
      <c r="G66" s="731">
        <v>45054</v>
      </c>
      <c r="H66" s="731">
        <v>45070</v>
      </c>
      <c r="I66" s="724">
        <v>103500</v>
      </c>
      <c r="J66" s="724">
        <f>+I66+I65</f>
        <v>1603500</v>
      </c>
      <c r="K66" s="724">
        <v>721704</v>
      </c>
      <c r="L66" s="724">
        <f>+J66-K66</f>
        <v>881796</v>
      </c>
      <c r="M66" s="586"/>
      <c r="O66" s="215">
        <f t="shared" si="0"/>
        <v>881796</v>
      </c>
      <c r="V66" s="262"/>
      <c r="W66" s="255"/>
      <c r="AC66" s="262"/>
      <c r="AD66" s="82"/>
    </row>
    <row r="67" spans="1:30">
      <c r="A67" s="732" t="s">
        <v>3188</v>
      </c>
      <c r="B67" s="720" t="s">
        <v>174</v>
      </c>
      <c r="C67" s="720" t="s">
        <v>3189</v>
      </c>
      <c r="D67" s="720" t="s">
        <v>3190</v>
      </c>
      <c r="E67" s="721" t="s">
        <v>3191</v>
      </c>
      <c r="F67" s="722">
        <v>45130</v>
      </c>
      <c r="G67" s="722">
        <v>45436</v>
      </c>
      <c r="H67" s="722">
        <v>45502</v>
      </c>
      <c r="I67" s="723">
        <v>1283139.42</v>
      </c>
      <c r="J67" s="724">
        <f>+I67</f>
        <v>1283139.42</v>
      </c>
      <c r="K67" s="724">
        <v>721704</v>
      </c>
      <c r="L67" s="724">
        <f>+J67-K67</f>
        <v>561435.41999999993</v>
      </c>
      <c r="M67" s="586"/>
      <c r="O67" s="215">
        <f t="shared" si="0"/>
        <v>561435.41999999993</v>
      </c>
      <c r="V67" s="262"/>
      <c r="W67" s="255"/>
      <c r="AC67" s="262"/>
      <c r="AD67" s="82"/>
    </row>
    <row r="68" spans="1:30">
      <c r="A68" s="732" t="s">
        <v>3033</v>
      </c>
      <c r="B68" s="720" t="s">
        <v>174</v>
      </c>
      <c r="C68" s="725" t="s">
        <v>3034</v>
      </c>
      <c r="D68" s="725" t="s">
        <v>3233</v>
      </c>
      <c r="E68" s="721" t="s">
        <v>33</v>
      </c>
      <c r="F68" s="726">
        <v>45207</v>
      </c>
      <c r="G68" s="726">
        <v>45175</v>
      </c>
      <c r="H68" s="722">
        <v>45258</v>
      </c>
      <c r="I68" s="723">
        <v>2336417.21</v>
      </c>
      <c r="J68" s="724"/>
      <c r="K68" s="724"/>
      <c r="L68" s="724"/>
      <c r="M68" s="586"/>
      <c r="O68" s="215"/>
      <c r="V68" s="262"/>
      <c r="W68" s="255"/>
      <c r="AC68" s="262"/>
      <c r="AD68" s="82"/>
    </row>
    <row r="69" spans="1:30">
      <c r="A69" s="734" t="s">
        <v>3035</v>
      </c>
      <c r="B69" s="721" t="s">
        <v>23</v>
      </c>
      <c r="C69" s="725" t="s">
        <v>3034</v>
      </c>
      <c r="D69" s="725" t="s">
        <v>3233</v>
      </c>
      <c r="E69" s="721" t="s">
        <v>33</v>
      </c>
      <c r="F69" s="726">
        <v>45207</v>
      </c>
      <c r="G69" s="726">
        <v>45175</v>
      </c>
      <c r="H69" s="722">
        <v>45244</v>
      </c>
      <c r="I69" s="723">
        <v>77145.490000000005</v>
      </c>
      <c r="J69" s="724">
        <f>+I69+I68</f>
        <v>2413562.7000000002</v>
      </c>
      <c r="K69" s="724">
        <v>721704</v>
      </c>
      <c r="L69" s="724">
        <f>+J69-K69</f>
        <v>1691858.7000000002</v>
      </c>
      <c r="M69" s="586"/>
      <c r="O69" s="215">
        <f t="shared" si="0"/>
        <v>1691858.7000000002</v>
      </c>
      <c r="V69" s="262"/>
      <c r="W69" s="255"/>
      <c r="AC69" s="262"/>
      <c r="AD69" s="82"/>
    </row>
    <row r="70" spans="1:30">
      <c r="A70" s="733" t="s">
        <v>2992</v>
      </c>
      <c r="B70" s="725" t="s">
        <v>174</v>
      </c>
      <c r="C70" s="729" t="s">
        <v>2993</v>
      </c>
      <c r="D70" s="730" t="s">
        <v>26</v>
      </c>
      <c r="E70" s="721" t="s">
        <v>33</v>
      </c>
      <c r="F70" s="731">
        <v>45081</v>
      </c>
      <c r="G70" s="731">
        <v>45092</v>
      </c>
      <c r="H70" s="731">
        <v>45100</v>
      </c>
      <c r="I70" s="724">
        <v>553814.73</v>
      </c>
      <c r="J70" s="724"/>
      <c r="K70" s="724"/>
      <c r="L70" s="724"/>
      <c r="M70" s="586"/>
      <c r="O70" s="215"/>
      <c r="V70" s="262"/>
      <c r="W70" s="255"/>
      <c r="AC70" s="262"/>
      <c r="AD70" s="82"/>
    </row>
    <row r="71" spans="1:30">
      <c r="A71" s="733" t="s">
        <v>2994</v>
      </c>
      <c r="B71" s="725" t="s">
        <v>174</v>
      </c>
      <c r="C71" s="729" t="s">
        <v>2993</v>
      </c>
      <c r="D71" s="730" t="s">
        <v>26</v>
      </c>
      <c r="E71" s="721" t="s">
        <v>33</v>
      </c>
      <c r="F71" s="731">
        <v>45081</v>
      </c>
      <c r="G71" s="731">
        <v>45103</v>
      </c>
      <c r="H71" s="731">
        <v>45105</v>
      </c>
      <c r="I71" s="724">
        <v>70000</v>
      </c>
      <c r="J71" s="724"/>
      <c r="K71" s="724"/>
      <c r="L71" s="724"/>
      <c r="M71" s="586"/>
      <c r="O71" s="215"/>
      <c r="V71" s="262"/>
      <c r="W71" s="255"/>
      <c r="AC71" s="262"/>
      <c r="AD71" s="82"/>
    </row>
    <row r="72" spans="1:30">
      <c r="A72" s="733" t="s">
        <v>2995</v>
      </c>
      <c r="B72" s="725" t="s">
        <v>23</v>
      </c>
      <c r="C72" s="729" t="s">
        <v>2993</v>
      </c>
      <c r="D72" s="730" t="s">
        <v>26</v>
      </c>
      <c r="E72" s="721" t="s">
        <v>33</v>
      </c>
      <c r="F72" s="731">
        <v>45081</v>
      </c>
      <c r="G72" s="731">
        <v>45103</v>
      </c>
      <c r="H72" s="731">
        <v>45105</v>
      </c>
      <c r="I72" s="724">
        <v>40553.68</v>
      </c>
      <c r="J72" s="724"/>
      <c r="K72" s="724"/>
      <c r="L72" s="724"/>
      <c r="M72" s="586"/>
      <c r="O72" s="215"/>
      <c r="V72" s="262"/>
      <c r="W72" s="255"/>
      <c r="AC72" s="262"/>
      <c r="AD72" s="82"/>
    </row>
    <row r="73" spans="1:30">
      <c r="A73" s="733" t="s">
        <v>2996</v>
      </c>
      <c r="B73" s="725" t="s">
        <v>30</v>
      </c>
      <c r="C73" s="729" t="s">
        <v>2993</v>
      </c>
      <c r="D73" s="730" t="s">
        <v>26</v>
      </c>
      <c r="E73" s="721" t="s">
        <v>33</v>
      </c>
      <c r="F73" s="731">
        <v>45081</v>
      </c>
      <c r="G73" s="731">
        <v>45092</v>
      </c>
      <c r="H73" s="731">
        <v>45100</v>
      </c>
      <c r="I73" s="724">
        <v>104500</v>
      </c>
      <c r="J73" s="724">
        <f>SUM(I70:I73)</f>
        <v>768868.41</v>
      </c>
      <c r="K73" s="724">
        <v>721704</v>
      </c>
      <c r="L73" s="724">
        <f>+J73-K73</f>
        <v>47164.410000000033</v>
      </c>
      <c r="M73" s="586"/>
      <c r="O73" s="215">
        <f t="shared" si="0"/>
        <v>47164.410000000033</v>
      </c>
      <c r="V73" s="262"/>
      <c r="W73" s="255"/>
      <c r="AC73" s="262"/>
      <c r="AD73" s="82"/>
    </row>
    <row r="74" spans="1:30">
      <c r="A74" s="733" t="s">
        <v>3466</v>
      </c>
      <c r="B74" s="725" t="s">
        <v>174</v>
      </c>
      <c r="C74" s="729" t="s">
        <v>3467</v>
      </c>
      <c r="D74" s="730" t="s">
        <v>2067</v>
      </c>
      <c r="E74" s="721" t="s">
        <v>2295</v>
      </c>
      <c r="F74" s="731">
        <v>45017</v>
      </c>
      <c r="G74" s="731">
        <v>45707</v>
      </c>
      <c r="H74" s="731">
        <v>45733</v>
      </c>
      <c r="I74" s="724">
        <v>1070647.69</v>
      </c>
      <c r="J74" s="724">
        <f>+I74</f>
        <v>1070647.69</v>
      </c>
      <c r="K74" s="724">
        <v>721704</v>
      </c>
      <c r="L74" s="724">
        <f>+J74-K74</f>
        <v>348943.68999999994</v>
      </c>
      <c r="M74" s="586"/>
      <c r="O74" s="215">
        <f t="shared" ref="O74:O110" si="1">IF($J74&gt;P$8,$J74-P$8,0)</f>
        <v>348943.68999999994</v>
      </c>
      <c r="V74" s="262"/>
      <c r="W74" s="255"/>
      <c r="AC74" s="262"/>
      <c r="AD74" s="82"/>
    </row>
    <row r="75" spans="1:30">
      <c r="A75" s="733" t="s">
        <v>2983</v>
      </c>
      <c r="B75" s="725" t="s">
        <v>174</v>
      </c>
      <c r="C75" s="729" t="s">
        <v>2997</v>
      </c>
      <c r="D75" s="730" t="s">
        <v>3234</v>
      </c>
      <c r="E75" s="721" t="s">
        <v>33</v>
      </c>
      <c r="F75" s="731">
        <v>45001</v>
      </c>
      <c r="G75" s="731">
        <v>45072</v>
      </c>
      <c r="H75" s="731">
        <v>45083</v>
      </c>
      <c r="I75" s="724">
        <v>1317196.75</v>
      </c>
      <c r="J75" s="724"/>
      <c r="K75" s="724"/>
      <c r="L75" s="724"/>
      <c r="M75" s="586"/>
      <c r="O75" s="215"/>
      <c r="V75" s="262"/>
      <c r="W75" s="255"/>
      <c r="AC75" s="262"/>
      <c r="AD75" s="82"/>
    </row>
    <row r="76" spans="1:30">
      <c r="A76" s="733" t="s">
        <v>2998</v>
      </c>
      <c r="B76" s="725" t="s">
        <v>23</v>
      </c>
      <c r="C76" s="729" t="s">
        <v>2997</v>
      </c>
      <c r="D76" s="730" t="s">
        <v>59</v>
      </c>
      <c r="E76" s="721" t="s">
        <v>33</v>
      </c>
      <c r="F76" s="731">
        <v>45001</v>
      </c>
      <c r="G76" s="731">
        <v>45040</v>
      </c>
      <c r="H76" s="731">
        <v>45050</v>
      </c>
      <c r="I76" s="724">
        <v>25683.81</v>
      </c>
      <c r="J76" s="724">
        <f>+I76+I75</f>
        <v>1342880.56</v>
      </c>
      <c r="K76" s="724">
        <v>721704</v>
      </c>
      <c r="L76" s="724">
        <f>+J76-K76</f>
        <v>621176.56000000006</v>
      </c>
      <c r="M76" s="586"/>
      <c r="O76" s="215">
        <f t="shared" si="1"/>
        <v>621176.56000000006</v>
      </c>
      <c r="V76" s="262"/>
      <c r="W76" s="255"/>
      <c r="AC76" s="262"/>
      <c r="AD76" s="82"/>
    </row>
    <row r="77" spans="1:30">
      <c r="A77" s="734" t="s">
        <v>2999</v>
      </c>
      <c r="B77" s="721" t="s">
        <v>93</v>
      </c>
      <c r="C77" s="725" t="s">
        <v>3000</v>
      </c>
      <c r="D77" s="725" t="s">
        <v>3001</v>
      </c>
      <c r="E77" s="721" t="s">
        <v>33</v>
      </c>
      <c r="F77" s="726">
        <v>44967</v>
      </c>
      <c r="G77" s="726">
        <v>45037</v>
      </c>
      <c r="H77" s="722">
        <v>45131</v>
      </c>
      <c r="I77" s="723">
        <v>205000</v>
      </c>
      <c r="J77" s="724"/>
      <c r="K77" s="724"/>
      <c r="L77" s="724"/>
      <c r="M77" s="586"/>
      <c r="O77" s="215"/>
      <c r="V77" s="262"/>
      <c r="W77" s="255"/>
      <c r="AC77" s="262"/>
      <c r="AD77" s="82"/>
    </row>
    <row r="78" spans="1:30">
      <c r="A78" s="734" t="s">
        <v>3002</v>
      </c>
      <c r="B78" s="721" t="s">
        <v>93</v>
      </c>
      <c r="C78" s="725" t="s">
        <v>3000</v>
      </c>
      <c r="D78" s="725" t="s">
        <v>3001</v>
      </c>
      <c r="E78" s="721" t="s">
        <v>33</v>
      </c>
      <c r="F78" s="726">
        <v>44967</v>
      </c>
      <c r="G78" s="726">
        <v>45037</v>
      </c>
      <c r="H78" s="722">
        <v>45131</v>
      </c>
      <c r="I78" s="723">
        <f>1510000+17000</f>
        <v>1527000</v>
      </c>
      <c r="J78" s="724"/>
      <c r="K78" s="724"/>
      <c r="L78" s="724"/>
      <c r="M78" s="586"/>
      <c r="O78" s="215"/>
      <c r="V78" s="262"/>
      <c r="W78" s="255"/>
      <c r="AC78" s="262"/>
      <c r="AD78" s="82"/>
    </row>
    <row r="79" spans="1:30">
      <c r="A79" s="734" t="s">
        <v>3003</v>
      </c>
      <c r="B79" s="721" t="s">
        <v>23</v>
      </c>
      <c r="C79" s="725" t="s">
        <v>3000</v>
      </c>
      <c r="D79" s="725" t="s">
        <v>3001</v>
      </c>
      <c r="E79" s="721" t="s">
        <v>33</v>
      </c>
      <c r="F79" s="726">
        <v>44967</v>
      </c>
      <c r="G79" s="726">
        <v>45037</v>
      </c>
      <c r="H79" s="726">
        <v>45131</v>
      </c>
      <c r="I79" s="727">
        <v>7884.67</v>
      </c>
      <c r="J79" s="724">
        <f>SUM(I77:I79)</f>
        <v>1739884.67</v>
      </c>
      <c r="K79" s="724">
        <v>721704</v>
      </c>
      <c r="L79" s="724">
        <f>+J79-K79</f>
        <v>1018180.6699999999</v>
      </c>
      <c r="M79" s="586"/>
      <c r="O79" s="215">
        <f t="shared" si="1"/>
        <v>1018180.6699999999</v>
      </c>
      <c r="V79" s="262"/>
      <c r="W79" s="255"/>
      <c r="AC79" s="262"/>
      <c r="AD79" s="82"/>
    </row>
    <row r="80" spans="1:30">
      <c r="A80" s="734" t="s">
        <v>3027</v>
      </c>
      <c r="B80" s="721" t="s">
        <v>174</v>
      </c>
      <c r="C80" s="725" t="s">
        <v>3028</v>
      </c>
      <c r="D80" s="725" t="s">
        <v>38</v>
      </c>
      <c r="E80" s="721" t="s">
        <v>33</v>
      </c>
      <c r="F80" s="726">
        <v>45159</v>
      </c>
      <c r="G80" s="726">
        <v>45203</v>
      </c>
      <c r="H80" s="726">
        <v>45218</v>
      </c>
      <c r="I80" s="727">
        <v>720900</v>
      </c>
      <c r="J80" s="724"/>
      <c r="K80" s="724"/>
      <c r="L80" s="724"/>
      <c r="M80" s="586"/>
      <c r="O80" s="215"/>
      <c r="V80" s="262"/>
      <c r="W80" s="255"/>
      <c r="AC80" s="262"/>
      <c r="AD80" s="82"/>
    </row>
    <row r="81" spans="1:30">
      <c r="A81" s="732" t="s">
        <v>3029</v>
      </c>
      <c r="B81" s="720" t="s">
        <v>23</v>
      </c>
      <c r="C81" s="725" t="s">
        <v>3028</v>
      </c>
      <c r="D81" s="725" t="s">
        <v>38</v>
      </c>
      <c r="E81" s="721" t="s">
        <v>33</v>
      </c>
      <c r="F81" s="726">
        <v>45159</v>
      </c>
      <c r="G81" s="726">
        <v>45203</v>
      </c>
      <c r="H81" s="726">
        <v>45218</v>
      </c>
      <c r="I81" s="727">
        <v>144891</v>
      </c>
      <c r="J81" s="724"/>
      <c r="K81" s="724"/>
      <c r="L81" s="724"/>
      <c r="M81" s="586"/>
      <c r="O81" s="215"/>
      <c r="V81" s="262"/>
      <c r="W81" s="255"/>
      <c r="AC81" s="262"/>
      <c r="AD81" s="82"/>
    </row>
    <row r="82" spans="1:30">
      <c r="A82" s="732" t="s">
        <v>3230</v>
      </c>
      <c r="B82" s="720" t="s">
        <v>174</v>
      </c>
      <c r="C82" s="720" t="s">
        <v>3028</v>
      </c>
      <c r="D82" s="720" t="s">
        <v>38</v>
      </c>
      <c r="E82" s="721" t="s">
        <v>33</v>
      </c>
      <c r="F82" s="722">
        <v>45159</v>
      </c>
      <c r="G82" s="722">
        <v>45369</v>
      </c>
      <c r="H82" s="722">
        <v>45399</v>
      </c>
      <c r="I82" s="723">
        <v>180000</v>
      </c>
      <c r="J82" s="724">
        <f>SUM(I80:I82)</f>
        <v>1045791</v>
      </c>
      <c r="K82" s="724">
        <v>721704</v>
      </c>
      <c r="L82" s="724">
        <f>+J82-K82</f>
        <v>324087</v>
      </c>
      <c r="M82" s="586"/>
      <c r="O82" s="215">
        <f t="shared" si="1"/>
        <v>324087</v>
      </c>
      <c r="V82" s="262"/>
      <c r="W82" s="255"/>
      <c r="AC82" s="262"/>
      <c r="AD82" s="82"/>
    </row>
    <row r="83" spans="1:30">
      <c r="A83" s="732" t="s">
        <v>3140</v>
      </c>
      <c r="B83" s="720" t="s">
        <v>1917</v>
      </c>
      <c r="C83" s="720" t="s">
        <v>3141</v>
      </c>
      <c r="D83" s="720" t="s">
        <v>750</v>
      </c>
      <c r="E83" s="721" t="s">
        <v>33</v>
      </c>
      <c r="F83" s="722">
        <v>45211</v>
      </c>
      <c r="G83" s="722">
        <v>45254</v>
      </c>
      <c r="H83" s="722">
        <v>45259</v>
      </c>
      <c r="I83" s="723">
        <v>100000</v>
      </c>
      <c r="J83" s="724"/>
      <c r="K83" s="724"/>
      <c r="L83" s="724"/>
      <c r="M83" s="586"/>
      <c r="O83" s="215"/>
      <c r="V83" s="262"/>
      <c r="W83" s="255"/>
      <c r="AC83" s="262"/>
      <c r="AD83" s="82"/>
    </row>
    <row r="84" spans="1:30">
      <c r="A84" s="732" t="s">
        <v>3142</v>
      </c>
      <c r="B84" s="720" t="s">
        <v>174</v>
      </c>
      <c r="C84" s="720" t="s">
        <v>3141</v>
      </c>
      <c r="D84" s="720" t="s">
        <v>750</v>
      </c>
      <c r="E84" s="721" t="s">
        <v>33</v>
      </c>
      <c r="F84" s="722">
        <v>45211</v>
      </c>
      <c r="G84" s="722">
        <v>45247</v>
      </c>
      <c r="H84" s="722">
        <v>45251</v>
      </c>
      <c r="I84" s="723">
        <v>69000</v>
      </c>
      <c r="J84" s="724"/>
      <c r="K84" s="724"/>
      <c r="L84" s="724"/>
      <c r="M84" s="586"/>
      <c r="O84" s="215"/>
      <c r="V84" s="262"/>
      <c r="W84" s="255"/>
      <c r="AC84" s="262"/>
      <c r="AD84" s="82"/>
    </row>
    <row r="85" spans="1:30">
      <c r="A85" s="732" t="s">
        <v>3143</v>
      </c>
      <c r="B85" s="720" t="s">
        <v>23</v>
      </c>
      <c r="C85" s="720" t="s">
        <v>3141</v>
      </c>
      <c r="D85" s="720" t="s">
        <v>750</v>
      </c>
      <c r="E85" s="721" t="s">
        <v>33</v>
      </c>
      <c r="F85" s="722">
        <v>45211</v>
      </c>
      <c r="G85" s="722">
        <v>45247</v>
      </c>
      <c r="H85" s="722">
        <v>45251</v>
      </c>
      <c r="I85" s="723">
        <v>83402.87</v>
      </c>
      <c r="J85" s="724"/>
      <c r="K85" s="724"/>
      <c r="L85" s="724"/>
      <c r="M85" s="586"/>
      <c r="O85" s="215"/>
      <c r="V85" s="262"/>
      <c r="W85" s="255"/>
      <c r="AC85" s="262"/>
      <c r="AD85" s="82"/>
    </row>
    <row r="86" spans="1:30">
      <c r="A86" s="732" t="s">
        <v>3144</v>
      </c>
      <c r="B86" s="720" t="s">
        <v>93</v>
      </c>
      <c r="C86" s="720" t="s">
        <v>3141</v>
      </c>
      <c r="D86" s="720" t="s">
        <v>750</v>
      </c>
      <c r="E86" s="721" t="s">
        <v>33</v>
      </c>
      <c r="F86" s="722">
        <v>45211</v>
      </c>
      <c r="G86" s="722">
        <v>45328</v>
      </c>
      <c r="H86" s="722">
        <v>45337</v>
      </c>
      <c r="I86" s="723">
        <v>510000</v>
      </c>
      <c r="J86" s="724">
        <f>SUM(I83:I86)</f>
        <v>762402.87</v>
      </c>
      <c r="K86" s="724">
        <v>721704</v>
      </c>
      <c r="L86" s="724">
        <f>+J86-K86</f>
        <v>40698.869999999995</v>
      </c>
      <c r="M86" s="586"/>
      <c r="O86" s="215">
        <f t="shared" si="1"/>
        <v>40698.869999999995</v>
      </c>
      <c r="V86" s="262"/>
      <c r="W86" s="255"/>
      <c r="AC86" s="262"/>
      <c r="AD86" s="82"/>
    </row>
    <row r="87" spans="1:30">
      <c r="A87" s="733" t="s">
        <v>3004</v>
      </c>
      <c r="B87" s="725" t="s">
        <v>174</v>
      </c>
      <c r="C87" s="729" t="s">
        <v>3005</v>
      </c>
      <c r="D87" s="730" t="s">
        <v>3059</v>
      </c>
      <c r="E87" s="721" t="s">
        <v>33</v>
      </c>
      <c r="F87" s="731">
        <v>45002</v>
      </c>
      <c r="G87" s="731">
        <v>45014</v>
      </c>
      <c r="H87" s="731">
        <v>45027</v>
      </c>
      <c r="I87" s="724">
        <v>220763.82</v>
      </c>
      <c r="J87" s="724"/>
      <c r="K87" s="724"/>
      <c r="L87" s="724"/>
      <c r="M87" s="586"/>
      <c r="O87" s="215"/>
      <c r="V87" s="262"/>
      <c r="W87" s="255"/>
      <c r="AC87" s="262"/>
      <c r="AD87" s="82"/>
    </row>
    <row r="88" spans="1:30">
      <c r="A88" s="733" t="s">
        <v>3007</v>
      </c>
      <c r="B88" s="725" t="s">
        <v>30</v>
      </c>
      <c r="C88" s="729" t="s">
        <v>3005</v>
      </c>
      <c r="D88" s="730" t="s">
        <v>3059</v>
      </c>
      <c r="E88" s="721" t="s">
        <v>33</v>
      </c>
      <c r="F88" s="731">
        <v>45002</v>
      </c>
      <c r="G88" s="731">
        <v>45014</v>
      </c>
      <c r="H88" s="731">
        <v>45027</v>
      </c>
      <c r="I88" s="724">
        <v>54500</v>
      </c>
      <c r="J88" s="724"/>
      <c r="K88" s="724"/>
      <c r="L88" s="724"/>
      <c r="M88" s="586"/>
      <c r="O88" s="215"/>
      <c r="V88" s="262"/>
      <c r="W88" s="255"/>
      <c r="AC88" s="262"/>
      <c r="AD88" s="82"/>
    </row>
    <row r="89" spans="1:30">
      <c r="A89" s="733" t="s">
        <v>3008</v>
      </c>
      <c r="B89" s="725" t="s">
        <v>174</v>
      </c>
      <c r="C89" s="729" t="s">
        <v>3005</v>
      </c>
      <c r="D89" s="730" t="s">
        <v>3006</v>
      </c>
      <c r="E89" s="721" t="s">
        <v>33</v>
      </c>
      <c r="F89" s="731">
        <v>45002</v>
      </c>
      <c r="G89" s="731">
        <v>45019</v>
      </c>
      <c r="H89" s="731">
        <v>45035</v>
      </c>
      <c r="I89" s="724">
        <v>763958.87</v>
      </c>
      <c r="J89" s="724"/>
      <c r="K89" s="724"/>
      <c r="L89" s="724"/>
      <c r="M89" s="586"/>
      <c r="O89" s="215"/>
      <c r="V89" s="262"/>
      <c r="W89" s="255"/>
      <c r="AC89" s="262"/>
      <c r="AD89" s="82"/>
    </row>
    <row r="90" spans="1:30">
      <c r="A90" s="733" t="s">
        <v>3009</v>
      </c>
      <c r="B90" s="725" t="s">
        <v>23</v>
      </c>
      <c r="C90" s="729" t="s">
        <v>3005</v>
      </c>
      <c r="D90" s="730" t="s">
        <v>3006</v>
      </c>
      <c r="E90" s="721" t="s">
        <v>33</v>
      </c>
      <c r="F90" s="731">
        <v>45002</v>
      </c>
      <c r="G90" s="731">
        <v>45019</v>
      </c>
      <c r="H90" s="731">
        <v>45027</v>
      </c>
      <c r="I90" s="724">
        <v>87500</v>
      </c>
      <c r="J90" s="735"/>
      <c r="K90" s="724"/>
      <c r="L90" s="724"/>
      <c r="M90" s="586"/>
      <c r="O90" s="215"/>
      <c r="V90" s="262"/>
      <c r="W90" s="255"/>
      <c r="AC90" s="262"/>
      <c r="AD90" s="82"/>
    </row>
    <row r="91" spans="1:30">
      <c r="A91" s="733" t="s">
        <v>3010</v>
      </c>
      <c r="B91" s="725" t="s">
        <v>174</v>
      </c>
      <c r="C91" s="729" t="s">
        <v>3005</v>
      </c>
      <c r="D91" s="730" t="s">
        <v>3006</v>
      </c>
      <c r="E91" s="721" t="s">
        <v>33</v>
      </c>
      <c r="F91" s="731">
        <v>45002</v>
      </c>
      <c r="G91" s="731">
        <v>45063</v>
      </c>
      <c r="H91" s="731">
        <v>45070</v>
      </c>
      <c r="I91" s="724">
        <v>184901.24</v>
      </c>
      <c r="J91" s="724">
        <f>SUM(I87:I91)</f>
        <v>1311623.93</v>
      </c>
      <c r="K91" s="724">
        <v>721704</v>
      </c>
      <c r="L91" s="724">
        <f>+J91-K91</f>
        <v>589919.92999999993</v>
      </c>
      <c r="M91" s="586"/>
      <c r="O91" s="215">
        <f t="shared" si="1"/>
        <v>589919.92999999993</v>
      </c>
      <c r="V91" s="262"/>
      <c r="W91" s="255"/>
      <c r="AC91" s="262"/>
      <c r="AD91" s="82"/>
    </row>
    <row r="92" spans="1:30">
      <c r="A92" s="732" t="s">
        <v>3212</v>
      </c>
      <c r="B92" s="720" t="s">
        <v>23</v>
      </c>
      <c r="C92" s="720" t="s">
        <v>3214</v>
      </c>
      <c r="D92" s="720" t="s">
        <v>165</v>
      </c>
      <c r="E92" s="721" t="s">
        <v>33</v>
      </c>
      <c r="F92" s="722">
        <v>45265</v>
      </c>
      <c r="G92" s="722">
        <v>45517</v>
      </c>
      <c r="H92" s="722">
        <v>45523</v>
      </c>
      <c r="I92" s="723">
        <v>87500</v>
      </c>
      <c r="J92" s="724"/>
      <c r="K92" s="724"/>
      <c r="L92" s="724"/>
      <c r="M92" s="586"/>
      <c r="O92" s="215"/>
      <c r="V92" s="262"/>
      <c r="W92" s="255"/>
      <c r="AC92" s="262"/>
      <c r="AD92" s="82"/>
    </row>
    <row r="93" spans="1:30">
      <c r="A93" s="732" t="s">
        <v>3213</v>
      </c>
      <c r="B93" s="720" t="s">
        <v>174</v>
      </c>
      <c r="C93" s="720" t="s">
        <v>3214</v>
      </c>
      <c r="D93" s="720" t="s">
        <v>165</v>
      </c>
      <c r="E93" s="721" t="s">
        <v>33</v>
      </c>
      <c r="F93" s="722">
        <v>45265</v>
      </c>
      <c r="G93" s="722">
        <v>45517</v>
      </c>
      <c r="H93" s="722">
        <v>45533</v>
      </c>
      <c r="I93" s="723">
        <v>2800000</v>
      </c>
      <c r="J93" s="724">
        <f>+I93+I92</f>
        <v>2887500</v>
      </c>
      <c r="K93" s="724">
        <v>721704</v>
      </c>
      <c r="L93" s="724">
        <f>+J93-K93</f>
        <v>2165796</v>
      </c>
      <c r="M93" s="586"/>
      <c r="O93" s="215">
        <f t="shared" si="1"/>
        <v>2165796</v>
      </c>
      <c r="V93" s="262"/>
      <c r="W93" s="255"/>
      <c r="AC93" s="262"/>
      <c r="AD93" s="82"/>
    </row>
    <row r="94" spans="1:30">
      <c r="A94" s="732" t="s">
        <v>3030</v>
      </c>
      <c r="B94" s="720" t="s">
        <v>174</v>
      </c>
      <c r="C94" s="720" t="s">
        <v>3146</v>
      </c>
      <c r="D94" s="720" t="s">
        <v>38</v>
      </c>
      <c r="E94" s="721" t="s">
        <v>33</v>
      </c>
      <c r="F94" s="722">
        <v>45208</v>
      </c>
      <c r="G94" s="722">
        <v>45231</v>
      </c>
      <c r="H94" s="722">
        <v>45240</v>
      </c>
      <c r="I94" s="723">
        <v>434070.66</v>
      </c>
      <c r="J94" s="724"/>
      <c r="K94" s="724"/>
      <c r="L94" s="724"/>
      <c r="M94" s="586"/>
      <c r="O94" s="215"/>
      <c r="V94" s="262"/>
      <c r="W94" s="255"/>
      <c r="AC94" s="262"/>
      <c r="AD94" s="82"/>
    </row>
    <row r="95" spans="1:30">
      <c r="A95" s="732" t="s">
        <v>3128</v>
      </c>
      <c r="B95" s="720" t="s">
        <v>30</v>
      </c>
      <c r="C95" s="720" t="s">
        <v>3146</v>
      </c>
      <c r="D95" s="720" t="s">
        <v>38</v>
      </c>
      <c r="E95" s="721" t="s">
        <v>33</v>
      </c>
      <c r="F95" s="722">
        <v>45208</v>
      </c>
      <c r="G95" s="722">
        <v>45232</v>
      </c>
      <c r="H95" s="722">
        <v>45240</v>
      </c>
      <c r="I95" s="723">
        <v>41500</v>
      </c>
      <c r="J95" s="724"/>
      <c r="K95" s="724"/>
      <c r="L95" s="724"/>
      <c r="M95" s="586"/>
      <c r="O95" s="215"/>
      <c r="V95" s="262"/>
      <c r="W95" s="255"/>
      <c r="AC95" s="262"/>
      <c r="AD95" s="82"/>
    </row>
    <row r="96" spans="1:30">
      <c r="A96" s="732" t="s">
        <v>3029</v>
      </c>
      <c r="B96" s="720" t="s">
        <v>174</v>
      </c>
      <c r="C96" s="720" t="s">
        <v>3146</v>
      </c>
      <c r="D96" s="720" t="s">
        <v>38</v>
      </c>
      <c r="E96" s="721" t="s">
        <v>33</v>
      </c>
      <c r="F96" s="722">
        <v>45208</v>
      </c>
      <c r="G96" s="722">
        <v>45401</v>
      </c>
      <c r="H96" s="722">
        <v>45408</v>
      </c>
      <c r="I96" s="723">
        <v>297019.49</v>
      </c>
      <c r="J96" s="724">
        <f>SUM(I94:I96)</f>
        <v>772590.14999999991</v>
      </c>
      <c r="K96" s="724">
        <v>721704</v>
      </c>
      <c r="L96" s="724">
        <f>+J96-K96</f>
        <v>50886.149999999907</v>
      </c>
      <c r="M96" s="586"/>
      <c r="O96" s="215">
        <f t="shared" si="1"/>
        <v>50886.149999999907</v>
      </c>
      <c r="V96" s="262"/>
      <c r="W96" s="255"/>
      <c r="AC96" s="262"/>
      <c r="AD96" s="82"/>
    </row>
    <row r="97" spans="1:30">
      <c r="A97" s="732" t="s">
        <v>3468</v>
      </c>
      <c r="B97" s="720" t="s">
        <v>23</v>
      </c>
      <c r="C97" s="720" t="s">
        <v>3469</v>
      </c>
      <c r="D97" s="720" t="s">
        <v>3470</v>
      </c>
      <c r="E97" s="721" t="s">
        <v>33</v>
      </c>
      <c r="F97" s="722">
        <v>45270</v>
      </c>
      <c r="G97" s="722">
        <v>45541</v>
      </c>
      <c r="H97" s="722">
        <v>45553</v>
      </c>
      <c r="I97" s="723">
        <v>49978.55</v>
      </c>
      <c r="J97" s="724"/>
      <c r="K97" s="724"/>
      <c r="L97" s="724"/>
      <c r="M97" s="586"/>
      <c r="O97" s="215"/>
      <c r="V97" s="262"/>
      <c r="W97" s="255"/>
      <c r="AC97" s="262"/>
      <c r="AD97" s="82"/>
    </row>
    <row r="98" spans="1:30">
      <c r="A98" s="732" t="s">
        <v>3471</v>
      </c>
      <c r="B98" s="720" t="s">
        <v>174</v>
      </c>
      <c r="C98" s="720" t="s">
        <v>3469</v>
      </c>
      <c r="D98" s="720" t="s">
        <v>3470</v>
      </c>
      <c r="E98" s="721" t="s">
        <v>33</v>
      </c>
      <c r="F98" s="722">
        <v>45270</v>
      </c>
      <c r="G98" s="722">
        <v>45541</v>
      </c>
      <c r="H98" s="722">
        <v>45582</v>
      </c>
      <c r="I98" s="723">
        <f>1757386.68+7000</f>
        <v>1764386.68</v>
      </c>
      <c r="J98" s="724">
        <f>+I98+I97</f>
        <v>1814365.23</v>
      </c>
      <c r="K98" s="724">
        <v>721704</v>
      </c>
      <c r="L98" s="724">
        <f>+J98-K98</f>
        <v>1092661.23</v>
      </c>
      <c r="M98" s="586"/>
      <c r="O98" s="215">
        <f t="shared" si="1"/>
        <v>1092661.23</v>
      </c>
      <c r="V98" s="262"/>
      <c r="W98" s="255"/>
      <c r="AC98" s="262"/>
      <c r="AD98" s="82"/>
    </row>
    <row r="99" spans="1:30">
      <c r="A99" s="732" t="s">
        <v>3148</v>
      </c>
      <c r="B99" s="720" t="s">
        <v>23</v>
      </c>
      <c r="C99" s="720" t="s">
        <v>3149</v>
      </c>
      <c r="D99" s="720" t="s">
        <v>38</v>
      </c>
      <c r="E99" s="721" t="s">
        <v>33</v>
      </c>
      <c r="F99" s="722">
        <v>45178</v>
      </c>
      <c r="G99" s="722">
        <v>45309</v>
      </c>
      <c r="H99" s="722">
        <v>45320</v>
      </c>
      <c r="I99" s="723">
        <v>55000</v>
      </c>
      <c r="J99" s="724"/>
      <c r="K99" s="724"/>
      <c r="L99" s="724"/>
      <c r="M99" s="586"/>
      <c r="O99" s="215"/>
      <c r="V99" s="262"/>
      <c r="W99" s="255"/>
      <c r="AC99" s="262"/>
      <c r="AD99" s="82"/>
    </row>
    <row r="100" spans="1:30">
      <c r="A100" s="732" t="s">
        <v>3150</v>
      </c>
      <c r="B100" s="720" t="s">
        <v>174</v>
      </c>
      <c r="C100" s="720" t="s">
        <v>3149</v>
      </c>
      <c r="D100" s="720" t="s">
        <v>38</v>
      </c>
      <c r="E100" s="721" t="s">
        <v>33</v>
      </c>
      <c r="F100" s="722">
        <v>45178</v>
      </c>
      <c r="G100" s="722">
        <v>45309</v>
      </c>
      <c r="H100" s="722">
        <v>45320</v>
      </c>
      <c r="I100" s="723">
        <v>1255000</v>
      </c>
      <c r="J100" s="724">
        <f>+I100+I99</f>
        <v>1310000</v>
      </c>
      <c r="K100" s="724">
        <v>721704</v>
      </c>
      <c r="L100" s="724">
        <f>+J100-K100</f>
        <v>588296</v>
      </c>
      <c r="M100" s="586"/>
      <c r="O100" s="215">
        <f t="shared" si="1"/>
        <v>588296</v>
      </c>
      <c r="V100" s="262"/>
      <c r="W100" s="255"/>
      <c r="AC100" s="262"/>
      <c r="AD100" s="82"/>
    </row>
    <row r="101" spans="1:30">
      <c r="A101" s="732" t="s">
        <v>3011</v>
      </c>
      <c r="B101" s="720" t="s">
        <v>30</v>
      </c>
      <c r="C101" s="720" t="s">
        <v>3012</v>
      </c>
      <c r="D101" s="720" t="s">
        <v>3013</v>
      </c>
      <c r="E101" s="721" t="s">
        <v>33</v>
      </c>
      <c r="F101" s="726">
        <v>44969</v>
      </c>
      <c r="G101" s="726">
        <v>45054</v>
      </c>
      <c r="H101" s="726">
        <v>45064</v>
      </c>
      <c r="I101" s="727">
        <v>15092.75</v>
      </c>
      <c r="J101" s="724"/>
      <c r="K101" s="724"/>
      <c r="L101" s="724"/>
      <c r="M101" s="586"/>
      <c r="O101" s="215"/>
      <c r="V101" s="262"/>
      <c r="W101" s="255"/>
      <c r="AC101" s="262"/>
      <c r="AD101" s="82"/>
    </row>
    <row r="102" spans="1:30">
      <c r="A102" s="732" t="s">
        <v>3014</v>
      </c>
      <c r="B102" s="720" t="s">
        <v>174</v>
      </c>
      <c r="C102" s="720" t="s">
        <v>3012</v>
      </c>
      <c r="D102" s="720" t="s">
        <v>3013</v>
      </c>
      <c r="E102" s="721" t="s">
        <v>33</v>
      </c>
      <c r="F102" s="726">
        <v>44969</v>
      </c>
      <c r="G102" s="726">
        <v>45099</v>
      </c>
      <c r="H102" s="726">
        <v>45117</v>
      </c>
      <c r="I102" s="727">
        <v>1191171.72</v>
      </c>
      <c r="J102" s="724"/>
      <c r="K102" s="724"/>
      <c r="L102" s="724"/>
      <c r="M102" s="586"/>
      <c r="O102" s="215"/>
      <c r="V102" s="262"/>
      <c r="W102" s="255"/>
      <c r="AC102" s="262"/>
      <c r="AD102" s="82"/>
    </row>
    <row r="103" spans="1:30">
      <c r="A103" s="732" t="s">
        <v>3015</v>
      </c>
      <c r="B103" s="720" t="s">
        <v>30</v>
      </c>
      <c r="C103" s="720" t="s">
        <v>3012</v>
      </c>
      <c r="D103" s="720" t="s">
        <v>3013</v>
      </c>
      <c r="E103" s="721" t="s">
        <v>33</v>
      </c>
      <c r="F103" s="726">
        <v>44969</v>
      </c>
      <c r="G103" s="726">
        <v>45099</v>
      </c>
      <c r="H103" s="726">
        <v>45117</v>
      </c>
      <c r="I103" s="727">
        <v>157500</v>
      </c>
      <c r="J103" s="724"/>
      <c r="K103" s="724"/>
      <c r="L103" s="724"/>
      <c r="M103" s="586"/>
      <c r="O103" s="215"/>
      <c r="V103" s="262"/>
      <c r="W103" s="255"/>
      <c r="AC103" s="262"/>
      <c r="AD103" s="82"/>
    </row>
    <row r="104" spans="1:30">
      <c r="A104" s="732" t="s">
        <v>3016</v>
      </c>
      <c r="B104" s="720" t="s">
        <v>174</v>
      </c>
      <c r="C104" s="720" t="s">
        <v>3012</v>
      </c>
      <c r="D104" s="720" t="s">
        <v>3013</v>
      </c>
      <c r="E104" s="721" t="s">
        <v>33</v>
      </c>
      <c r="F104" s="726">
        <v>44969</v>
      </c>
      <c r="G104" s="726">
        <v>45096</v>
      </c>
      <c r="H104" s="726">
        <v>45117</v>
      </c>
      <c r="I104" s="727">
        <v>50815</v>
      </c>
      <c r="J104" s="724">
        <f>SUM(I101:I104)</f>
        <v>1414579.47</v>
      </c>
      <c r="K104" s="724">
        <v>721704</v>
      </c>
      <c r="L104" s="724">
        <f>+J104-K104</f>
        <v>692875.47</v>
      </c>
      <c r="M104" s="586"/>
      <c r="O104" s="215">
        <f t="shared" si="1"/>
        <v>692875.47</v>
      </c>
      <c r="V104" s="262"/>
      <c r="W104" s="255"/>
      <c r="AC104" s="262"/>
      <c r="AD104" s="82"/>
    </row>
    <row r="105" spans="1:30">
      <c r="A105" s="732" t="s">
        <v>3151</v>
      </c>
      <c r="B105" s="720" t="s">
        <v>23</v>
      </c>
      <c r="C105" s="720" t="s">
        <v>3152</v>
      </c>
      <c r="D105" s="720" t="s">
        <v>69</v>
      </c>
      <c r="E105" s="721" t="s">
        <v>33</v>
      </c>
      <c r="F105" s="722">
        <v>45231</v>
      </c>
      <c r="G105" s="722">
        <v>45294</v>
      </c>
      <c r="H105" s="722">
        <v>45321</v>
      </c>
      <c r="I105" s="723">
        <v>165000</v>
      </c>
      <c r="J105" s="724"/>
      <c r="K105" s="724"/>
      <c r="L105" s="724"/>
      <c r="M105" s="534"/>
      <c r="O105" s="215"/>
    </row>
    <row r="106" spans="1:30">
      <c r="A106" s="732" t="s">
        <v>3153</v>
      </c>
      <c r="B106" s="720" t="s">
        <v>174</v>
      </c>
      <c r="C106" s="720" t="s">
        <v>3152</v>
      </c>
      <c r="D106" s="720" t="s">
        <v>69</v>
      </c>
      <c r="E106" s="721" t="s">
        <v>33</v>
      </c>
      <c r="F106" s="722">
        <v>45231</v>
      </c>
      <c r="G106" s="722">
        <v>45294</v>
      </c>
      <c r="H106" s="722">
        <v>45321</v>
      </c>
      <c r="I106" s="723">
        <f>1487000+7000</f>
        <v>1494000</v>
      </c>
      <c r="J106" s="724"/>
      <c r="K106" s="724"/>
      <c r="L106" s="724"/>
      <c r="M106" s="534"/>
      <c r="O106" s="215"/>
    </row>
    <row r="107" spans="1:30">
      <c r="A107" s="732" t="s">
        <v>3154</v>
      </c>
      <c r="B107" s="720" t="s">
        <v>23</v>
      </c>
      <c r="C107" s="720" t="s">
        <v>3152</v>
      </c>
      <c r="D107" s="720" t="s">
        <v>69</v>
      </c>
      <c r="E107" s="721" t="s">
        <v>33</v>
      </c>
      <c r="F107" s="722">
        <v>45231</v>
      </c>
      <c r="G107" s="722">
        <v>45338</v>
      </c>
      <c r="H107" s="722">
        <v>45350</v>
      </c>
      <c r="I107" s="723">
        <v>21265.18</v>
      </c>
      <c r="J107" s="724">
        <f>SUM(I105:I107)</f>
        <v>1680265.18</v>
      </c>
      <c r="K107" s="724">
        <v>721704</v>
      </c>
      <c r="L107" s="724">
        <f>+J107-K107</f>
        <v>958561.17999999993</v>
      </c>
      <c r="M107" s="534"/>
      <c r="O107" s="215">
        <f t="shared" si="1"/>
        <v>958561.17999999993</v>
      </c>
    </row>
    <row r="108" spans="1:30">
      <c r="A108" s="732" t="s">
        <v>3030</v>
      </c>
      <c r="B108" s="720" t="s">
        <v>174</v>
      </c>
      <c r="C108" s="720" t="s">
        <v>3031</v>
      </c>
      <c r="D108" s="720" t="s">
        <v>209</v>
      </c>
      <c r="E108" s="721" t="s">
        <v>33</v>
      </c>
      <c r="F108" s="726">
        <v>45169</v>
      </c>
      <c r="G108" s="726">
        <v>45212</v>
      </c>
      <c r="H108" s="726">
        <v>45236</v>
      </c>
      <c r="I108" s="727">
        <v>1507000</v>
      </c>
      <c r="J108" s="724"/>
      <c r="K108" s="724"/>
      <c r="L108" s="724"/>
      <c r="M108" s="534"/>
      <c r="O108" s="215"/>
    </row>
    <row r="109" spans="1:30">
      <c r="A109" s="732" t="s">
        <v>3032</v>
      </c>
      <c r="B109" s="720" t="s">
        <v>23</v>
      </c>
      <c r="C109" s="720" t="s">
        <v>3031</v>
      </c>
      <c r="D109" s="720" t="s">
        <v>209</v>
      </c>
      <c r="E109" s="721" t="s">
        <v>33</v>
      </c>
      <c r="F109" s="726">
        <v>45169</v>
      </c>
      <c r="G109" s="726">
        <v>45212</v>
      </c>
      <c r="H109" s="726">
        <v>45236</v>
      </c>
      <c r="I109" s="727">
        <v>96150.18</v>
      </c>
      <c r="J109" s="724">
        <f>+I109+I108</f>
        <v>1603150.18</v>
      </c>
      <c r="K109" s="724">
        <v>721704</v>
      </c>
      <c r="L109" s="724">
        <f>+J109-K109</f>
        <v>881446.17999999993</v>
      </c>
      <c r="M109" s="534"/>
      <c r="O109" s="215">
        <f t="shared" si="1"/>
        <v>881446.17999999993</v>
      </c>
    </row>
    <row r="110" spans="1:30">
      <c r="A110" s="732" t="s">
        <v>3192</v>
      </c>
      <c r="B110" s="720" t="s">
        <v>174</v>
      </c>
      <c r="C110" s="720" t="s">
        <v>3193</v>
      </c>
      <c r="D110" s="720" t="s">
        <v>3194</v>
      </c>
      <c r="E110" s="721" t="s">
        <v>3191</v>
      </c>
      <c r="F110" s="722">
        <v>45232</v>
      </c>
      <c r="G110" s="722">
        <v>45453</v>
      </c>
      <c r="H110" s="722">
        <v>45498</v>
      </c>
      <c r="I110" s="723">
        <f>1077820.72+13000</f>
        <v>1090820.72</v>
      </c>
      <c r="J110" s="724">
        <f>+I110</f>
        <v>1090820.72</v>
      </c>
      <c r="K110" s="724">
        <v>721704</v>
      </c>
      <c r="L110" s="724">
        <f>+J110-K110</f>
        <v>369116.72</v>
      </c>
      <c r="M110" s="534"/>
      <c r="O110" s="215">
        <f t="shared" si="1"/>
        <v>369116.72</v>
      </c>
    </row>
    <row r="111" spans="1:30">
      <c r="A111" s="597"/>
      <c r="B111" s="272"/>
      <c r="C111" s="273"/>
      <c r="D111" s="273"/>
      <c r="E111" s="272"/>
      <c r="F111" s="598"/>
      <c r="G111" s="598"/>
      <c r="H111" s="598"/>
      <c r="I111" s="599"/>
      <c r="J111" s="599"/>
      <c r="K111" s="599"/>
      <c r="L111" s="599"/>
      <c r="M111" s="534"/>
      <c r="O111" s="215"/>
    </row>
    <row r="112" spans="1:30" ht="15" thickBot="1">
      <c r="H112" s="508" t="s">
        <v>1941</v>
      </c>
      <c r="I112" s="736">
        <f>SUM(I9:I111)</f>
        <v>47646115.629999988</v>
      </c>
      <c r="J112" s="736">
        <f t="shared" ref="J112:L112" si="2">SUM(J9:J111)</f>
        <v>47646115.629999995</v>
      </c>
      <c r="K112" s="736">
        <f t="shared" si="2"/>
        <v>25981344</v>
      </c>
      <c r="L112" s="736">
        <f t="shared" si="2"/>
        <v>21664771.629999995</v>
      </c>
      <c r="M112" s="561"/>
      <c r="O112" s="737">
        <f>SUM(O10:O111)</f>
        <v>21664771.629999995</v>
      </c>
    </row>
    <row r="113" spans="5:15">
      <c r="I113" s="82"/>
      <c r="J113" s="82"/>
      <c r="K113" s="82"/>
      <c r="L113" s="82"/>
    </row>
    <row r="114" spans="5:15">
      <c r="E114" s="83"/>
      <c r="F114" s="82"/>
      <c r="G114" s="82"/>
      <c r="H114" s="82"/>
      <c r="I114" s="82"/>
      <c r="J114" s="83"/>
      <c r="K114" s="83"/>
      <c r="L114" s="83"/>
    </row>
    <row r="115" spans="5:15">
      <c r="F115" s="82"/>
      <c r="G115" s="82"/>
      <c r="H115" s="82"/>
      <c r="I115" s="82"/>
      <c r="O115" s="266"/>
    </row>
    <row r="116" spans="5:15">
      <c r="F116" s="82"/>
      <c r="G116" s="82"/>
      <c r="H116" s="82"/>
      <c r="I116" s="82"/>
      <c r="J116" s="399" t="s">
        <v>2535</v>
      </c>
      <c r="K116" s="589">
        <v>25261545.612500012</v>
      </c>
      <c r="L116" s="601">
        <f>L112/K116</f>
        <v>0.85761860981616866</v>
      </c>
    </row>
    <row r="117" spans="5:15">
      <c r="F117" s="255"/>
      <c r="G117" s="82"/>
      <c r="H117" s="82"/>
      <c r="I117" s="82"/>
      <c r="J117" s="399" t="s">
        <v>2957</v>
      </c>
      <c r="K117" s="566">
        <v>13000000</v>
      </c>
      <c r="L117" s="399"/>
      <c r="M117" s="86"/>
    </row>
    <row r="118" spans="5:15">
      <c r="F118" s="83"/>
      <c r="G118" s="82"/>
      <c r="H118" s="82"/>
      <c r="I118" s="82"/>
      <c r="J118" s="399" t="s">
        <v>2929</v>
      </c>
      <c r="K118" s="602">
        <f>K116-K117</f>
        <v>12261545.612500012</v>
      </c>
      <c r="L118" s="603">
        <f>L112/K117</f>
        <v>1.6665208946153842</v>
      </c>
    </row>
    <row r="119" spans="5:15">
      <c r="G119" s="82"/>
      <c r="H119" s="82"/>
      <c r="I119" s="82"/>
    </row>
    <row r="120" spans="5:15">
      <c r="J120" s="399" t="s">
        <v>2557</v>
      </c>
      <c r="K120" s="82">
        <v>85000000</v>
      </c>
      <c r="L120" s="86">
        <f>L112/K120</f>
        <v>0.25487966623529407</v>
      </c>
      <c r="O120" s="83"/>
    </row>
    <row r="122" spans="5:15">
      <c r="N122" s="255"/>
    </row>
  </sheetData>
  <autoFilter ref="A8:M110" xr:uid="{00000000-0009-0000-0000-00000E000000}">
    <sortState xmlns:xlrd2="http://schemas.microsoft.com/office/spreadsheetml/2017/richdata2" ref="A9:M111">
      <sortCondition ref="C9:C111"/>
    </sortState>
  </autoFilter>
  <sortState xmlns:xlrd2="http://schemas.microsoft.com/office/spreadsheetml/2017/richdata2" ref="A9:M104">
    <sortCondition ref="C9:C104"/>
  </sortState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count="1">
    <dataValidation type="list" allowBlank="1" showInputMessage="1" showErrorMessage="1" sqref="B10:B12 B14:B99" xr:uid="{00000000-0002-0000-0E00-000000000000}">
      <formula1>#REF!</formula1>
    </dataValidation>
  </dataValidations>
  <pageMargins left="0.7" right="0.7" top="0.75" bottom="0.75" header="0.3" footer="0.3"/>
  <pageSetup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152"/>
  <sheetViews>
    <sheetView showGridLines="0" topLeftCell="H127" zoomScaleNormal="100" workbookViewId="0">
      <selection activeCell="M143" sqref="M142:M143"/>
    </sheetView>
  </sheetViews>
  <sheetFormatPr baseColWidth="10" defaultRowHeight="14.4"/>
  <cols>
    <col min="1" max="3" width="31.5546875" style="72" customWidth="1"/>
    <col min="4" max="4" width="43.5546875" style="72" customWidth="1"/>
    <col min="5" max="5" width="20.77734375" style="72" customWidth="1"/>
    <col min="6" max="6" width="20.44140625" style="72" customWidth="1"/>
    <col min="7" max="7" width="17.109375" style="72" customWidth="1"/>
    <col min="8" max="8" width="17" style="72" customWidth="1"/>
    <col min="9" max="9" width="24" style="72" bestFit="1" customWidth="1"/>
    <col min="10" max="10" width="22.44140625" style="72" bestFit="1" customWidth="1"/>
    <col min="11" max="11" width="15.21875" style="72" bestFit="1" customWidth="1"/>
    <col min="12" max="12" width="15.5546875" style="72" bestFit="1" customWidth="1"/>
    <col min="13" max="13" width="17.21875" style="72" bestFit="1" customWidth="1"/>
    <col min="14" max="14" width="11.5546875" style="72"/>
    <col min="15" max="15" width="20.109375" style="72" bestFit="1" customWidth="1"/>
    <col min="16" max="16" width="12.88671875" style="72" bestFit="1" customWidth="1"/>
    <col min="17" max="21" width="11.5546875" style="72"/>
    <col min="22" max="22" width="38.44140625" style="72" bestFit="1" customWidth="1"/>
    <col min="23" max="23" width="29.109375" style="72" bestFit="1" customWidth="1"/>
    <col min="24" max="28" width="11.5546875" style="72"/>
    <col min="29" max="29" width="22.109375" style="72" bestFit="1" customWidth="1"/>
    <col min="30" max="30" width="30" style="72" bestFit="1" customWidth="1"/>
    <col min="31" max="16384" width="11.5546875" style="72"/>
  </cols>
  <sheetData>
    <row r="1" spans="1:30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30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30" ht="18.600000000000001" thickBot="1">
      <c r="A3" s="774" t="s">
        <v>1666</v>
      </c>
      <c r="B3" s="775"/>
      <c r="C3" s="492">
        <v>24.687000000000001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30" ht="18.600000000000001" thickBot="1">
      <c r="A4" s="747" t="s">
        <v>1665</v>
      </c>
      <c r="B4" s="776"/>
      <c r="C4" s="783" t="s">
        <v>3073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30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30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30" ht="18.600000000000001" thickBot="1">
      <c r="A7" s="753" t="s">
        <v>3242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30" ht="15" thickBot="1">
      <c r="A8" s="526" t="s">
        <v>9</v>
      </c>
      <c r="B8" s="526" t="s">
        <v>10</v>
      </c>
      <c r="C8" s="527" t="s">
        <v>11</v>
      </c>
      <c r="D8" s="527" t="s">
        <v>12</v>
      </c>
      <c r="E8" s="527" t="s">
        <v>13</v>
      </c>
      <c r="F8" s="527" t="s">
        <v>14</v>
      </c>
      <c r="G8" s="527" t="s">
        <v>15</v>
      </c>
      <c r="H8" s="527" t="s">
        <v>16</v>
      </c>
      <c r="I8" s="527" t="s">
        <v>17</v>
      </c>
      <c r="J8" s="527" t="s">
        <v>18</v>
      </c>
      <c r="K8" s="527" t="s">
        <v>19</v>
      </c>
      <c r="L8" s="527" t="s">
        <v>20</v>
      </c>
      <c r="M8" s="527" t="s">
        <v>21</v>
      </c>
      <c r="O8" s="454" t="s">
        <v>1090</v>
      </c>
      <c r="P8" s="455">
        <f>'BURNING COST'!F8</f>
        <v>721704</v>
      </c>
      <c r="V8" s="72" t="s">
        <v>1062</v>
      </c>
      <c r="W8" s="72" t="s">
        <v>2534</v>
      </c>
      <c r="AC8" s="531" t="s">
        <v>1062</v>
      </c>
      <c r="AD8" s="531" t="s">
        <v>2534</v>
      </c>
    </row>
    <row r="9" spans="1:30">
      <c r="O9" s="157" t="s">
        <v>1091</v>
      </c>
      <c r="V9" s="262" t="s">
        <v>2326</v>
      </c>
      <c r="W9" s="255">
        <v>4887751.4000000004</v>
      </c>
      <c r="AC9" s="262" t="s">
        <v>30</v>
      </c>
      <c r="AD9" s="82">
        <v>153000</v>
      </c>
    </row>
    <row r="10" spans="1:30">
      <c r="A10" s="714" t="s">
        <v>3195</v>
      </c>
      <c r="B10" s="714" t="s">
        <v>174</v>
      </c>
      <c r="C10" s="66" t="s">
        <v>3197</v>
      </c>
      <c r="D10" s="66" t="s">
        <v>38</v>
      </c>
      <c r="E10" s="67" t="s">
        <v>33</v>
      </c>
      <c r="F10" s="68">
        <v>45414</v>
      </c>
      <c r="G10" s="68">
        <v>45485</v>
      </c>
      <c r="H10" s="68">
        <v>45503</v>
      </c>
      <c r="I10" s="64">
        <v>1659000</v>
      </c>
      <c r="J10" s="65">
        <f>+I10</f>
        <v>1659000</v>
      </c>
      <c r="K10" s="65">
        <v>721704</v>
      </c>
      <c r="L10" s="65">
        <f>+J10-K10</f>
        <v>937296</v>
      </c>
      <c r="M10" s="715"/>
      <c r="O10" s="708">
        <f>IF($J10&gt;P$8,$J10-P$8,0)</f>
        <v>937296</v>
      </c>
      <c r="V10" s="262" t="s">
        <v>2401</v>
      </c>
      <c r="W10" s="255">
        <v>1520000</v>
      </c>
      <c r="AC10" s="262" t="s">
        <v>23</v>
      </c>
      <c r="AD10" s="82">
        <v>493387.22</v>
      </c>
    </row>
    <row r="11" spans="1:30">
      <c r="A11" s="714" t="s">
        <v>3078</v>
      </c>
      <c r="B11" s="714" t="s">
        <v>30</v>
      </c>
      <c r="C11" s="66" t="s">
        <v>3076</v>
      </c>
      <c r="D11" s="66" t="s">
        <v>3077</v>
      </c>
      <c r="E11" s="67" t="s">
        <v>33</v>
      </c>
      <c r="F11" s="68">
        <v>45387</v>
      </c>
      <c r="G11" s="68">
        <v>45399</v>
      </c>
      <c r="H11" s="68">
        <v>45401</v>
      </c>
      <c r="I11" s="716">
        <v>55000</v>
      </c>
      <c r="J11" s="717"/>
      <c r="K11" s="717"/>
      <c r="L11" s="717"/>
      <c r="M11" s="715"/>
      <c r="O11" s="708"/>
      <c r="V11" s="262" t="s">
        <v>2563</v>
      </c>
      <c r="W11" s="255">
        <v>1032500</v>
      </c>
      <c r="AC11" s="262" t="s">
        <v>174</v>
      </c>
      <c r="AD11" s="82">
        <v>10958022.040000001</v>
      </c>
    </row>
    <row r="12" spans="1:30">
      <c r="A12" s="714" t="s">
        <v>3075</v>
      </c>
      <c r="B12" s="714" t="s">
        <v>174</v>
      </c>
      <c r="C12" s="66" t="s">
        <v>3076</v>
      </c>
      <c r="D12" s="66" t="s">
        <v>3077</v>
      </c>
      <c r="E12" s="67" t="s">
        <v>33</v>
      </c>
      <c r="F12" s="68">
        <v>45387</v>
      </c>
      <c r="G12" s="68">
        <v>45397</v>
      </c>
      <c r="H12" s="68">
        <v>45411</v>
      </c>
      <c r="I12" s="64">
        <v>1695618.53</v>
      </c>
      <c r="J12" s="65">
        <f>SUM(I11:I12)</f>
        <v>1750618.53</v>
      </c>
      <c r="K12" s="65">
        <v>721704</v>
      </c>
      <c r="L12" s="65">
        <f t="shared" ref="L12:L71" si="0">+J12-K12</f>
        <v>1028914.53</v>
      </c>
      <c r="M12" s="715"/>
      <c r="O12" s="708">
        <f t="shared" ref="O12:O71" si="1">IF($J12&gt;P$8,$J12-P$8,0)</f>
        <v>1028914.53</v>
      </c>
      <c r="V12" s="262" t="s">
        <v>2569</v>
      </c>
      <c r="W12" s="255">
        <v>966340.02</v>
      </c>
      <c r="AC12" s="262" t="s">
        <v>36</v>
      </c>
      <c r="AD12" s="82">
        <v>1979372.83</v>
      </c>
    </row>
    <row r="13" spans="1:30">
      <c r="A13" s="714" t="s">
        <v>3079</v>
      </c>
      <c r="B13" s="714" t="s">
        <v>1985</v>
      </c>
      <c r="C13" s="66" t="s">
        <v>3080</v>
      </c>
      <c r="D13" s="66" t="s">
        <v>3081</v>
      </c>
      <c r="E13" s="67" t="s">
        <v>33</v>
      </c>
      <c r="F13" s="69">
        <v>45323</v>
      </c>
      <c r="G13" s="69">
        <v>45335</v>
      </c>
      <c r="H13" s="69">
        <v>45348</v>
      </c>
      <c r="I13" s="70">
        <v>1100000</v>
      </c>
      <c r="J13" s="71">
        <f>+I13</f>
        <v>1100000</v>
      </c>
      <c r="K13" s="65">
        <v>721704</v>
      </c>
      <c r="L13" s="65">
        <f t="shared" si="0"/>
        <v>378296</v>
      </c>
      <c r="M13" s="718"/>
      <c r="O13" s="708">
        <f t="shared" si="1"/>
        <v>378296</v>
      </c>
      <c r="V13" s="262" t="s">
        <v>2574</v>
      </c>
      <c r="W13" s="255">
        <v>905979.95</v>
      </c>
      <c r="AC13" s="262" t="s">
        <v>1066</v>
      </c>
      <c r="AD13" s="82">
        <f>SUM(AD9:AD12)</f>
        <v>13583782.090000002</v>
      </c>
    </row>
    <row r="14" spans="1:30">
      <c r="A14" s="714" t="s">
        <v>3357</v>
      </c>
      <c r="B14" s="714" t="s">
        <v>174</v>
      </c>
      <c r="C14" s="66" t="s">
        <v>3358</v>
      </c>
      <c r="D14" s="66" t="s">
        <v>38</v>
      </c>
      <c r="E14" s="67" t="s">
        <v>33</v>
      </c>
      <c r="F14" s="68">
        <v>45492</v>
      </c>
      <c r="G14" s="68">
        <v>45586</v>
      </c>
      <c r="H14" s="68">
        <v>45594</v>
      </c>
      <c r="I14" s="64">
        <v>1500000</v>
      </c>
      <c r="J14" s="65">
        <f>+I14</f>
        <v>1500000</v>
      </c>
      <c r="K14" s="65">
        <v>721704</v>
      </c>
      <c r="L14" s="65">
        <f t="shared" si="0"/>
        <v>778296</v>
      </c>
      <c r="M14" s="715"/>
      <c r="O14" s="708">
        <f t="shared" si="1"/>
        <v>778296</v>
      </c>
      <c r="V14" s="262" t="s">
        <v>2578</v>
      </c>
      <c r="W14" s="255">
        <v>782080.44</v>
      </c>
      <c r="AC14" s="262"/>
      <c r="AD14" s="82"/>
    </row>
    <row r="15" spans="1:30">
      <c r="A15" s="714" t="s">
        <v>3359</v>
      </c>
      <c r="B15" s="714" t="s">
        <v>23</v>
      </c>
      <c r="C15" s="66" t="s">
        <v>3360</v>
      </c>
      <c r="D15" s="66" t="s">
        <v>517</v>
      </c>
      <c r="E15" s="67" t="s">
        <v>33</v>
      </c>
      <c r="F15" s="68">
        <v>45536</v>
      </c>
      <c r="G15" s="68">
        <v>45743</v>
      </c>
      <c r="H15" s="68"/>
      <c r="I15" s="64">
        <v>1600</v>
      </c>
      <c r="J15" s="65"/>
      <c r="K15" s="65"/>
      <c r="L15" s="65"/>
      <c r="M15" s="715"/>
      <c r="O15" s="708"/>
      <c r="V15" s="262" t="s">
        <v>2581</v>
      </c>
      <c r="W15" s="255">
        <v>1489623</v>
      </c>
      <c r="AC15" s="262"/>
      <c r="AD15" s="82"/>
    </row>
    <row r="16" spans="1:30">
      <c r="A16" s="714" t="s">
        <v>3361</v>
      </c>
      <c r="B16" s="714" t="s">
        <v>1985</v>
      </c>
      <c r="C16" s="66" t="s">
        <v>3360</v>
      </c>
      <c r="D16" s="66" t="s">
        <v>517</v>
      </c>
      <c r="E16" s="67" t="s">
        <v>33</v>
      </c>
      <c r="F16" s="68">
        <v>45536</v>
      </c>
      <c r="G16" s="68">
        <v>45566</v>
      </c>
      <c r="H16" s="68">
        <v>45581</v>
      </c>
      <c r="I16" s="64">
        <v>330000</v>
      </c>
      <c r="J16" s="65"/>
      <c r="K16" s="65"/>
      <c r="L16" s="65"/>
      <c r="M16" s="715"/>
      <c r="O16" s="708"/>
      <c r="V16" s="262" t="s">
        <v>2586</v>
      </c>
      <c r="W16" s="255">
        <v>1015000</v>
      </c>
      <c r="AC16" s="262" t="s">
        <v>1062</v>
      </c>
      <c r="AD16" s="82" t="s">
        <v>2534</v>
      </c>
    </row>
    <row r="17" spans="1:31">
      <c r="A17" s="714" t="s">
        <v>3362</v>
      </c>
      <c r="B17" s="714" t="s">
        <v>23</v>
      </c>
      <c r="C17" s="66" t="s">
        <v>3360</v>
      </c>
      <c r="D17" s="66" t="s">
        <v>517</v>
      </c>
      <c r="E17" s="67" t="s">
        <v>33</v>
      </c>
      <c r="F17" s="68">
        <v>45536</v>
      </c>
      <c r="G17" s="68">
        <v>45600</v>
      </c>
      <c r="H17" s="68">
        <v>45610</v>
      </c>
      <c r="I17" s="64">
        <v>72578.45</v>
      </c>
      <c r="J17" s="65"/>
      <c r="K17" s="65"/>
      <c r="L17" s="65"/>
      <c r="M17" s="715"/>
      <c r="O17" s="708"/>
      <c r="V17" s="262" t="s">
        <v>1066</v>
      </c>
      <c r="W17" s="255">
        <v>12599274.809999999</v>
      </c>
      <c r="AC17" s="262" t="s">
        <v>2326</v>
      </c>
      <c r="AD17" s="82">
        <v>11376198.939999999</v>
      </c>
      <c r="AE17" s="72">
        <f>AD17/AD20</f>
        <v>0.8374839101972078</v>
      </c>
    </row>
    <row r="18" spans="1:31">
      <c r="A18" s="714" t="s">
        <v>3363</v>
      </c>
      <c r="B18" s="714" t="s">
        <v>23</v>
      </c>
      <c r="C18" s="66" t="s">
        <v>3360</v>
      </c>
      <c r="D18" s="66" t="s">
        <v>517</v>
      </c>
      <c r="E18" s="67" t="s">
        <v>33</v>
      </c>
      <c r="F18" s="68">
        <v>45536</v>
      </c>
      <c r="G18" s="68">
        <v>45601</v>
      </c>
      <c r="H18" s="68">
        <v>45614</v>
      </c>
      <c r="I18" s="64">
        <v>8376.66</v>
      </c>
      <c r="J18" s="65"/>
      <c r="K18" s="65"/>
      <c r="L18" s="65"/>
      <c r="M18" s="715"/>
      <c r="O18" s="708"/>
      <c r="V18" s="262"/>
      <c r="W18" s="255"/>
      <c r="AC18" s="262" t="s">
        <v>1891</v>
      </c>
      <c r="AD18" s="82">
        <v>1417000</v>
      </c>
      <c r="AE18" s="72">
        <f>AD18/AD20</f>
        <v>0.10431557209999384</v>
      </c>
    </row>
    <row r="19" spans="1:31">
      <c r="A19" s="714" t="s">
        <v>3364</v>
      </c>
      <c r="B19" s="714" t="s">
        <v>174</v>
      </c>
      <c r="C19" s="66" t="s">
        <v>3360</v>
      </c>
      <c r="D19" s="66" t="s">
        <v>517</v>
      </c>
      <c r="E19" s="67" t="s">
        <v>33</v>
      </c>
      <c r="F19" s="68">
        <v>45536</v>
      </c>
      <c r="G19" s="68">
        <v>45600</v>
      </c>
      <c r="H19" s="68">
        <v>45610</v>
      </c>
      <c r="I19" s="64">
        <v>537302.67000000004</v>
      </c>
      <c r="J19" s="65">
        <f>SUM(I15:I19)</f>
        <v>949857.78</v>
      </c>
      <c r="K19" s="65">
        <v>721704</v>
      </c>
      <c r="L19" s="65">
        <f t="shared" si="0"/>
        <v>228153.78000000003</v>
      </c>
      <c r="M19" s="715"/>
      <c r="O19" s="708">
        <f t="shared" si="1"/>
        <v>228153.78000000003</v>
      </c>
      <c r="V19" s="262"/>
      <c r="W19" s="255"/>
      <c r="AC19" s="262" t="s">
        <v>38</v>
      </c>
      <c r="AD19" s="82">
        <v>790583.15</v>
      </c>
      <c r="AE19" s="72">
        <f>AD19/AD20</f>
        <v>5.8200517702798341E-2</v>
      </c>
    </row>
    <row r="20" spans="1:31">
      <c r="A20" s="714" t="s">
        <v>3164</v>
      </c>
      <c r="B20" s="714" t="s">
        <v>23</v>
      </c>
      <c r="C20" s="66" t="s">
        <v>3178</v>
      </c>
      <c r="D20" s="66" t="s">
        <v>3184</v>
      </c>
      <c r="E20" s="67" t="s">
        <v>33</v>
      </c>
      <c r="F20" s="68">
        <v>45412</v>
      </c>
      <c r="G20" s="68">
        <v>45450</v>
      </c>
      <c r="H20" s="68">
        <v>45460</v>
      </c>
      <c r="I20" s="64">
        <v>52946.57</v>
      </c>
      <c r="J20" s="65"/>
      <c r="K20" s="65"/>
      <c r="L20" s="65"/>
      <c r="M20" s="715"/>
      <c r="O20" s="708"/>
      <c r="V20" s="262"/>
      <c r="W20" s="255"/>
      <c r="AC20" s="262" t="s">
        <v>1066</v>
      </c>
      <c r="AD20" s="82">
        <f>SUM(AD17:AD19)</f>
        <v>13583782.09</v>
      </c>
    </row>
    <row r="21" spans="1:31">
      <c r="A21" s="714" t="s">
        <v>3163</v>
      </c>
      <c r="B21" s="714" t="s">
        <v>174</v>
      </c>
      <c r="C21" s="66" t="s">
        <v>3178</v>
      </c>
      <c r="D21" s="66" t="s">
        <v>3184</v>
      </c>
      <c r="E21" s="67" t="s">
        <v>33</v>
      </c>
      <c r="F21" s="68">
        <v>45412</v>
      </c>
      <c r="G21" s="68">
        <v>45450</v>
      </c>
      <c r="H21" s="68">
        <v>45461</v>
      </c>
      <c r="I21" s="64">
        <v>797948.62</v>
      </c>
      <c r="J21" s="65">
        <f>SUM(I20:I21)</f>
        <v>850895.19</v>
      </c>
      <c r="K21" s="65">
        <v>721704</v>
      </c>
      <c r="L21" s="65">
        <f t="shared" si="0"/>
        <v>129191.18999999994</v>
      </c>
      <c r="M21" s="715"/>
      <c r="O21" s="708">
        <f t="shared" si="1"/>
        <v>129191.18999999994</v>
      </c>
      <c r="V21" s="262"/>
      <c r="W21" s="255"/>
      <c r="AC21" s="262"/>
      <c r="AD21" s="82"/>
    </row>
    <row r="22" spans="1:31">
      <c r="A22" s="714" t="s">
        <v>3365</v>
      </c>
      <c r="B22" s="714" t="s">
        <v>174</v>
      </c>
      <c r="C22" s="66" t="s">
        <v>3366</v>
      </c>
      <c r="D22" s="66" t="s">
        <v>3367</v>
      </c>
      <c r="E22" s="67" t="s">
        <v>3191</v>
      </c>
      <c r="F22" s="68">
        <v>45358</v>
      </c>
      <c r="G22" s="68">
        <v>45873</v>
      </c>
      <c r="H22" s="68">
        <v>45938</v>
      </c>
      <c r="I22" s="64">
        <v>1031900</v>
      </c>
      <c r="J22" s="65">
        <f>+I22</f>
        <v>1031900</v>
      </c>
      <c r="K22" s="65">
        <v>721704</v>
      </c>
      <c r="L22" s="65">
        <f t="shared" si="0"/>
        <v>310196</v>
      </c>
      <c r="M22" s="715"/>
      <c r="O22" s="708">
        <f t="shared" si="1"/>
        <v>310196</v>
      </c>
      <c r="V22" s="262"/>
      <c r="W22" s="255"/>
      <c r="AC22" s="262"/>
      <c r="AD22" s="82"/>
    </row>
    <row r="23" spans="1:31">
      <c r="A23" s="714" t="s">
        <v>3196</v>
      </c>
      <c r="B23" s="714" t="s">
        <v>174</v>
      </c>
      <c r="C23" s="66" t="s">
        <v>3198</v>
      </c>
      <c r="D23" s="66" t="s">
        <v>38</v>
      </c>
      <c r="E23" s="67" t="s">
        <v>33</v>
      </c>
      <c r="F23" s="63">
        <v>45406</v>
      </c>
      <c r="G23" s="63">
        <v>45497</v>
      </c>
      <c r="H23" s="63">
        <v>45502</v>
      </c>
      <c r="I23" s="64">
        <v>823430.16</v>
      </c>
      <c r="J23" s="65">
        <f>+I23</f>
        <v>823430.16</v>
      </c>
      <c r="K23" s="65">
        <v>721704</v>
      </c>
      <c r="L23" s="65">
        <f t="shared" si="0"/>
        <v>101726.16000000003</v>
      </c>
      <c r="M23" s="715"/>
      <c r="O23" s="708">
        <f t="shared" si="1"/>
        <v>101726.16000000003</v>
      </c>
      <c r="V23" s="262"/>
      <c r="W23" s="255"/>
      <c r="AC23" s="262"/>
      <c r="AD23" s="82"/>
    </row>
    <row r="24" spans="1:31">
      <c r="A24" s="714" t="s">
        <v>3084</v>
      </c>
      <c r="B24" s="714" t="s">
        <v>23</v>
      </c>
      <c r="C24" s="66" t="s">
        <v>3083</v>
      </c>
      <c r="D24" s="66" t="s">
        <v>209</v>
      </c>
      <c r="E24" s="67" t="s">
        <v>33</v>
      </c>
      <c r="F24" s="69">
        <v>45301</v>
      </c>
      <c r="G24" s="69">
        <v>45328</v>
      </c>
      <c r="H24" s="69">
        <v>45337</v>
      </c>
      <c r="I24" s="70">
        <v>68731.86</v>
      </c>
      <c r="J24" s="65"/>
      <c r="K24" s="65"/>
      <c r="L24" s="65"/>
      <c r="M24" s="715"/>
      <c r="O24" s="708"/>
      <c r="V24" s="262"/>
      <c r="W24" s="255"/>
      <c r="AC24" s="262"/>
      <c r="AD24" s="82"/>
    </row>
    <row r="25" spans="1:31">
      <c r="A25" s="714" t="s">
        <v>3082</v>
      </c>
      <c r="B25" s="714" t="s">
        <v>174</v>
      </c>
      <c r="C25" s="66" t="s">
        <v>3083</v>
      </c>
      <c r="D25" s="66" t="s">
        <v>209</v>
      </c>
      <c r="E25" s="67" t="s">
        <v>33</v>
      </c>
      <c r="F25" s="69">
        <v>45301</v>
      </c>
      <c r="G25" s="69">
        <v>45328</v>
      </c>
      <c r="H25" s="69">
        <v>45350</v>
      </c>
      <c r="I25" s="70">
        <v>2902000</v>
      </c>
      <c r="J25" s="65">
        <f>+I25+I24</f>
        <v>2970731.86</v>
      </c>
      <c r="K25" s="65">
        <v>721704</v>
      </c>
      <c r="L25" s="65">
        <f t="shared" si="0"/>
        <v>2249027.86</v>
      </c>
      <c r="M25" s="715"/>
      <c r="O25" s="708">
        <f t="shared" si="1"/>
        <v>2249027.86</v>
      </c>
      <c r="V25" s="262"/>
      <c r="W25" s="255"/>
      <c r="AC25" s="262"/>
      <c r="AD25" s="82"/>
    </row>
    <row r="26" spans="1:31">
      <c r="A26" s="714" t="s">
        <v>3368</v>
      </c>
      <c r="B26" s="714" t="s">
        <v>174</v>
      </c>
      <c r="C26" s="66" t="s">
        <v>3369</v>
      </c>
      <c r="D26" s="66" t="s">
        <v>3370</v>
      </c>
      <c r="E26" s="67" t="s">
        <v>33</v>
      </c>
      <c r="F26" s="68">
        <v>45494</v>
      </c>
      <c r="G26" s="68">
        <v>45538</v>
      </c>
      <c r="H26" s="68">
        <v>45576</v>
      </c>
      <c r="I26" s="64">
        <v>1333725.6200000001</v>
      </c>
      <c r="J26" s="65"/>
      <c r="K26" s="65"/>
      <c r="L26" s="65"/>
      <c r="M26" s="715"/>
      <c r="O26" s="708"/>
      <c r="V26" s="262"/>
      <c r="W26" s="255"/>
      <c r="AC26" s="262"/>
      <c r="AD26" s="82"/>
    </row>
    <row r="27" spans="1:31">
      <c r="A27" s="714" t="s">
        <v>3371</v>
      </c>
      <c r="B27" s="714" t="s">
        <v>1917</v>
      </c>
      <c r="C27" s="66" t="s">
        <v>3369</v>
      </c>
      <c r="D27" s="66" t="s">
        <v>3370</v>
      </c>
      <c r="E27" s="67" t="s">
        <v>33</v>
      </c>
      <c r="F27" s="68">
        <v>45494</v>
      </c>
      <c r="G27" s="68">
        <v>45538</v>
      </c>
      <c r="H27" s="68">
        <v>45548</v>
      </c>
      <c r="I27" s="64">
        <v>7000</v>
      </c>
      <c r="J27" s="65"/>
      <c r="K27" s="65"/>
      <c r="L27" s="65"/>
      <c r="M27" s="715"/>
      <c r="O27" s="708"/>
      <c r="V27" s="262"/>
      <c r="W27" s="255"/>
      <c r="AC27" s="262"/>
      <c r="AD27" s="82"/>
    </row>
    <row r="28" spans="1:31">
      <c r="A28" s="714" t="s">
        <v>3372</v>
      </c>
      <c r="B28" s="714" t="s">
        <v>23</v>
      </c>
      <c r="C28" s="66" t="s">
        <v>3369</v>
      </c>
      <c r="D28" s="66" t="s">
        <v>3370</v>
      </c>
      <c r="E28" s="67" t="s">
        <v>33</v>
      </c>
      <c r="F28" s="68">
        <v>45494</v>
      </c>
      <c r="G28" s="68">
        <v>45538</v>
      </c>
      <c r="H28" s="68">
        <v>45548</v>
      </c>
      <c r="I28" s="64">
        <v>24500</v>
      </c>
      <c r="J28" s="65"/>
      <c r="K28" s="65"/>
      <c r="L28" s="65"/>
      <c r="M28" s="715"/>
      <c r="O28" s="708"/>
      <c r="V28" s="262"/>
      <c r="W28" s="255"/>
      <c r="AC28" s="262"/>
      <c r="AD28" s="82"/>
    </row>
    <row r="29" spans="1:31">
      <c r="A29" s="714" t="s">
        <v>3373</v>
      </c>
      <c r="B29" s="714" t="s">
        <v>174</v>
      </c>
      <c r="C29" s="66" t="s">
        <v>3369</v>
      </c>
      <c r="D29" s="66" t="s">
        <v>3370</v>
      </c>
      <c r="E29" s="67" t="s">
        <v>33</v>
      </c>
      <c r="F29" s="68">
        <v>45494</v>
      </c>
      <c r="G29" s="68">
        <v>45538</v>
      </c>
      <c r="H29" s="68">
        <v>45548</v>
      </c>
      <c r="I29" s="64">
        <v>100000</v>
      </c>
      <c r="J29" s="65">
        <f>SUM(I26:I29)</f>
        <v>1465225.62</v>
      </c>
      <c r="K29" s="65">
        <v>721704</v>
      </c>
      <c r="L29" s="65">
        <f t="shared" si="0"/>
        <v>743521.62000000011</v>
      </c>
      <c r="M29" s="715"/>
      <c r="O29" s="708">
        <f t="shared" si="1"/>
        <v>743521.62000000011</v>
      </c>
      <c r="V29" s="262"/>
      <c r="W29" s="255"/>
      <c r="AC29" s="262"/>
      <c r="AD29" s="82"/>
    </row>
    <row r="30" spans="1:31">
      <c r="A30" s="714" t="s">
        <v>3223</v>
      </c>
      <c r="B30" s="714" t="s">
        <v>174</v>
      </c>
      <c r="C30" s="66" t="s">
        <v>3222</v>
      </c>
      <c r="D30" s="66" t="s">
        <v>38</v>
      </c>
      <c r="E30" s="67" t="s">
        <v>33</v>
      </c>
      <c r="F30" s="69">
        <v>45338</v>
      </c>
      <c r="G30" s="69">
        <v>45544</v>
      </c>
      <c r="H30" s="69">
        <v>45561</v>
      </c>
      <c r="I30" s="70">
        <v>1500000</v>
      </c>
      <c r="J30" s="65"/>
      <c r="K30" s="65"/>
      <c r="L30" s="65"/>
      <c r="M30" s="715"/>
      <c r="O30" s="708"/>
      <c r="V30" s="262"/>
      <c r="W30" s="255"/>
      <c r="AC30" s="262"/>
      <c r="AD30" s="82"/>
    </row>
    <row r="31" spans="1:31">
      <c r="A31" s="714" t="s">
        <v>3221</v>
      </c>
      <c r="B31" s="714" t="s">
        <v>23</v>
      </c>
      <c r="C31" s="66" t="s">
        <v>3222</v>
      </c>
      <c r="D31" s="66" t="s">
        <v>38</v>
      </c>
      <c r="E31" s="67" t="s">
        <v>33</v>
      </c>
      <c r="F31" s="69">
        <v>45338</v>
      </c>
      <c r="G31" s="69">
        <v>45544</v>
      </c>
      <c r="H31" s="69">
        <v>45560</v>
      </c>
      <c r="I31" s="70">
        <v>103500</v>
      </c>
      <c r="J31" s="65">
        <f>+I31+I30</f>
        <v>1603500</v>
      </c>
      <c r="K31" s="65">
        <v>721704</v>
      </c>
      <c r="L31" s="65">
        <f t="shared" si="0"/>
        <v>881796</v>
      </c>
      <c r="M31" s="715"/>
      <c r="O31" s="708">
        <f t="shared" si="1"/>
        <v>881796</v>
      </c>
      <c r="V31" s="262"/>
      <c r="W31" s="255"/>
      <c r="AC31" s="262"/>
      <c r="AD31" s="82"/>
    </row>
    <row r="32" spans="1:31">
      <c r="A32" s="714" t="s">
        <v>3374</v>
      </c>
      <c r="B32" s="714" t="s">
        <v>174</v>
      </c>
      <c r="C32" s="66" t="s">
        <v>3375</v>
      </c>
      <c r="D32" s="66" t="s">
        <v>38</v>
      </c>
      <c r="E32" s="67" t="s">
        <v>33</v>
      </c>
      <c r="F32" s="68">
        <v>45512</v>
      </c>
      <c r="G32" s="68">
        <v>45580</v>
      </c>
      <c r="H32" s="68">
        <v>45583</v>
      </c>
      <c r="I32" s="64">
        <v>1349063.14</v>
      </c>
      <c r="J32" s="65"/>
      <c r="K32" s="65"/>
      <c r="L32" s="65"/>
      <c r="M32" s="715"/>
      <c r="O32" s="708"/>
      <c r="V32" s="262"/>
      <c r="W32" s="255"/>
      <c r="AC32" s="262"/>
      <c r="AD32" s="82"/>
    </row>
    <row r="33" spans="1:30">
      <c r="A33" s="714" t="s">
        <v>3376</v>
      </c>
      <c r="B33" s="714" t="s">
        <v>23</v>
      </c>
      <c r="C33" s="66" t="s">
        <v>3375</v>
      </c>
      <c r="D33" s="66" t="s">
        <v>38</v>
      </c>
      <c r="E33" s="67" t="s">
        <v>33</v>
      </c>
      <c r="F33" s="68">
        <v>45512</v>
      </c>
      <c r="G33" s="68">
        <v>45580</v>
      </c>
      <c r="H33" s="68">
        <v>45583</v>
      </c>
      <c r="I33" s="64">
        <v>181838.64</v>
      </c>
      <c r="J33" s="65">
        <f>+I33+I32</f>
        <v>1530901.7799999998</v>
      </c>
      <c r="K33" s="65">
        <v>721704</v>
      </c>
      <c r="L33" s="65">
        <f t="shared" si="0"/>
        <v>809197.7799999998</v>
      </c>
      <c r="M33" s="715"/>
      <c r="O33" s="708">
        <f t="shared" si="1"/>
        <v>809197.7799999998</v>
      </c>
      <c r="V33" s="262"/>
      <c r="W33" s="255"/>
      <c r="AC33" s="262"/>
      <c r="AD33" s="82"/>
    </row>
    <row r="34" spans="1:30">
      <c r="A34" s="714" t="s">
        <v>3377</v>
      </c>
      <c r="B34" s="714" t="s">
        <v>174</v>
      </c>
      <c r="C34" s="66" t="s">
        <v>3378</v>
      </c>
      <c r="D34" s="66" t="s">
        <v>3379</v>
      </c>
      <c r="E34" s="67" t="s">
        <v>33</v>
      </c>
      <c r="F34" s="68">
        <v>45584</v>
      </c>
      <c r="G34" s="68">
        <v>45621</v>
      </c>
      <c r="H34" s="68">
        <v>45632</v>
      </c>
      <c r="I34" s="64">
        <v>785655.56</v>
      </c>
      <c r="J34" s="65"/>
      <c r="K34" s="65"/>
      <c r="L34" s="65"/>
      <c r="M34" s="715"/>
      <c r="O34" s="708"/>
      <c r="V34" s="262"/>
      <c r="W34" s="255"/>
      <c r="AC34" s="262"/>
      <c r="AD34" s="82"/>
    </row>
    <row r="35" spans="1:30">
      <c r="A35" s="714" t="s">
        <v>3380</v>
      </c>
      <c r="B35" s="714" t="s">
        <v>30</v>
      </c>
      <c r="C35" s="66" t="s">
        <v>3378</v>
      </c>
      <c r="D35" s="66" t="s">
        <v>3379</v>
      </c>
      <c r="E35" s="67" t="s">
        <v>33</v>
      </c>
      <c r="F35" s="68">
        <v>45584</v>
      </c>
      <c r="G35" s="68">
        <v>45621</v>
      </c>
      <c r="H35" s="68">
        <v>45632</v>
      </c>
      <c r="I35" s="64">
        <v>60000</v>
      </c>
      <c r="J35" s="65">
        <f>+I35+I34</f>
        <v>845655.56</v>
      </c>
      <c r="K35" s="65">
        <v>721704</v>
      </c>
      <c r="L35" s="65">
        <f t="shared" si="0"/>
        <v>123951.56000000006</v>
      </c>
      <c r="M35" s="715"/>
      <c r="O35" s="708">
        <f t="shared" si="1"/>
        <v>123951.56000000006</v>
      </c>
      <c r="V35" s="262"/>
      <c r="W35" s="255"/>
      <c r="AC35" s="262"/>
      <c r="AD35" s="82"/>
    </row>
    <row r="36" spans="1:30">
      <c r="A36" s="714" t="s">
        <v>3169</v>
      </c>
      <c r="B36" s="714" t="s">
        <v>93</v>
      </c>
      <c r="C36" s="66" t="s">
        <v>3179</v>
      </c>
      <c r="D36" s="66" t="s">
        <v>1652</v>
      </c>
      <c r="E36" s="67" t="s">
        <v>33</v>
      </c>
      <c r="F36" s="68">
        <v>45410</v>
      </c>
      <c r="G36" s="68">
        <v>45453</v>
      </c>
      <c r="H36" s="68">
        <v>45470</v>
      </c>
      <c r="I36" s="64">
        <v>40000</v>
      </c>
      <c r="J36" s="65"/>
      <c r="K36" s="65"/>
      <c r="L36" s="65"/>
      <c r="M36" s="715"/>
      <c r="O36" s="708"/>
      <c r="V36" s="262"/>
      <c r="W36" s="255"/>
      <c r="AC36" s="262"/>
      <c r="AD36" s="82"/>
    </row>
    <row r="37" spans="1:30">
      <c r="A37" s="714" t="s">
        <v>3165</v>
      </c>
      <c r="B37" s="714" t="s">
        <v>174</v>
      </c>
      <c r="C37" s="66" t="s">
        <v>3179</v>
      </c>
      <c r="D37" s="66" t="s">
        <v>1652</v>
      </c>
      <c r="E37" s="67" t="s">
        <v>33</v>
      </c>
      <c r="F37" s="68">
        <v>45410</v>
      </c>
      <c r="G37" s="68">
        <v>45428</v>
      </c>
      <c r="H37" s="68">
        <v>45436</v>
      </c>
      <c r="I37" s="64">
        <v>462000</v>
      </c>
      <c r="J37" s="65"/>
      <c r="K37" s="65"/>
      <c r="L37" s="65"/>
      <c r="M37" s="715"/>
      <c r="O37" s="708"/>
      <c r="V37" s="262"/>
      <c r="W37" s="255"/>
      <c r="AC37" s="262"/>
      <c r="AD37" s="82"/>
    </row>
    <row r="38" spans="1:30">
      <c r="A38" s="714" t="s">
        <v>3166</v>
      </c>
      <c r="B38" s="714" t="s">
        <v>23</v>
      </c>
      <c r="C38" s="66" t="s">
        <v>3179</v>
      </c>
      <c r="D38" s="66" t="s">
        <v>1652</v>
      </c>
      <c r="E38" s="67" t="s">
        <v>33</v>
      </c>
      <c r="F38" s="68">
        <v>45410</v>
      </c>
      <c r="G38" s="68">
        <v>45428</v>
      </c>
      <c r="H38" s="68">
        <v>45436</v>
      </c>
      <c r="I38" s="64">
        <v>142489.13</v>
      </c>
      <c r="J38" s="65"/>
      <c r="K38" s="65"/>
      <c r="L38" s="65"/>
      <c r="M38" s="715"/>
      <c r="O38" s="708"/>
      <c r="V38" s="262"/>
      <c r="W38" s="255"/>
      <c r="AC38" s="262"/>
      <c r="AD38" s="82"/>
    </row>
    <row r="39" spans="1:30">
      <c r="A39" s="714" t="s">
        <v>3167</v>
      </c>
      <c r="B39" s="714" t="s">
        <v>245</v>
      </c>
      <c r="C39" s="66" t="s">
        <v>3179</v>
      </c>
      <c r="D39" s="66" t="s">
        <v>1652</v>
      </c>
      <c r="E39" s="67" t="s">
        <v>33</v>
      </c>
      <c r="F39" s="68">
        <v>45410</v>
      </c>
      <c r="G39" s="68">
        <v>45453</v>
      </c>
      <c r="H39" s="68">
        <v>45470</v>
      </c>
      <c r="I39" s="64">
        <v>475000</v>
      </c>
      <c r="J39" s="65"/>
      <c r="K39" s="65"/>
      <c r="L39" s="65"/>
      <c r="M39" s="715"/>
      <c r="O39" s="708"/>
      <c r="V39" s="262"/>
      <c r="W39" s="255"/>
      <c r="AC39" s="262"/>
      <c r="AD39" s="82"/>
    </row>
    <row r="40" spans="1:30">
      <c r="A40" s="714" t="s">
        <v>3168</v>
      </c>
      <c r="B40" s="714" t="s">
        <v>245</v>
      </c>
      <c r="C40" s="66" t="s">
        <v>3179</v>
      </c>
      <c r="D40" s="66" t="s">
        <v>1652</v>
      </c>
      <c r="E40" s="67" t="s">
        <v>33</v>
      </c>
      <c r="F40" s="68">
        <v>45410</v>
      </c>
      <c r="G40" s="68">
        <v>45453</v>
      </c>
      <c r="H40" s="68">
        <v>45470</v>
      </c>
      <c r="I40" s="64">
        <v>30000</v>
      </c>
      <c r="J40" s="65">
        <f>SUM(I36:I40)</f>
        <v>1149489.1299999999</v>
      </c>
      <c r="K40" s="65">
        <v>721704</v>
      </c>
      <c r="L40" s="65">
        <f t="shared" si="0"/>
        <v>427785.12999999989</v>
      </c>
      <c r="M40" s="715"/>
      <c r="O40" s="708">
        <f t="shared" si="1"/>
        <v>427785.12999999989</v>
      </c>
      <c r="V40" s="262"/>
      <c r="W40" s="255"/>
      <c r="AC40" s="262"/>
      <c r="AD40" s="82"/>
    </row>
    <row r="41" spans="1:30">
      <c r="A41" s="714" t="s">
        <v>3088</v>
      </c>
      <c r="B41" s="714" t="s">
        <v>23</v>
      </c>
      <c r="C41" s="66" t="s">
        <v>3086</v>
      </c>
      <c r="D41" s="66" t="s">
        <v>990</v>
      </c>
      <c r="E41" s="67" t="s">
        <v>33</v>
      </c>
      <c r="F41" s="68">
        <v>45299</v>
      </c>
      <c r="G41" s="68">
        <v>45336</v>
      </c>
      <c r="H41" s="68">
        <v>45363</v>
      </c>
      <c r="I41" s="64">
        <v>55000</v>
      </c>
      <c r="J41" s="65"/>
      <c r="K41" s="65"/>
      <c r="L41" s="65"/>
      <c r="M41" s="715"/>
      <c r="O41" s="708"/>
      <c r="V41" s="262"/>
      <c r="W41" s="255"/>
      <c r="AC41" s="262"/>
      <c r="AD41" s="82"/>
    </row>
    <row r="42" spans="1:30">
      <c r="A42" s="714" t="s">
        <v>3085</v>
      </c>
      <c r="B42" s="714" t="s">
        <v>1985</v>
      </c>
      <c r="C42" s="66" t="s">
        <v>3086</v>
      </c>
      <c r="D42" s="66" t="s">
        <v>990</v>
      </c>
      <c r="E42" s="67" t="s">
        <v>33</v>
      </c>
      <c r="F42" s="68">
        <v>45299</v>
      </c>
      <c r="G42" s="68">
        <v>45316</v>
      </c>
      <c r="H42" s="68">
        <v>45321</v>
      </c>
      <c r="I42" s="64">
        <v>550000</v>
      </c>
      <c r="J42" s="65"/>
      <c r="K42" s="65"/>
      <c r="L42" s="65"/>
      <c r="M42" s="715"/>
      <c r="O42" s="708"/>
      <c r="V42" s="262"/>
      <c r="W42" s="255"/>
      <c r="AC42" s="262"/>
      <c r="AD42" s="82"/>
    </row>
    <row r="43" spans="1:30">
      <c r="A43" s="714" t="s">
        <v>3087</v>
      </c>
      <c r="B43" s="714" t="s">
        <v>174</v>
      </c>
      <c r="C43" s="66" t="s">
        <v>3086</v>
      </c>
      <c r="D43" s="66" t="s">
        <v>990</v>
      </c>
      <c r="E43" s="67" t="s">
        <v>33</v>
      </c>
      <c r="F43" s="68">
        <v>45299</v>
      </c>
      <c r="G43" s="68">
        <v>45336</v>
      </c>
      <c r="H43" s="68">
        <v>45370</v>
      </c>
      <c r="I43" s="64">
        <v>459000</v>
      </c>
      <c r="J43" s="65">
        <f>SUM(I41:I43)</f>
        <v>1064000</v>
      </c>
      <c r="K43" s="65">
        <v>721704</v>
      </c>
      <c r="L43" s="65">
        <f t="shared" si="0"/>
        <v>342296</v>
      </c>
      <c r="M43" s="715"/>
      <c r="O43" s="708">
        <f t="shared" si="1"/>
        <v>342296</v>
      </c>
      <c r="V43" s="262"/>
      <c r="W43" s="255"/>
      <c r="AC43" s="262"/>
      <c r="AD43" s="82"/>
    </row>
    <row r="44" spans="1:30">
      <c r="A44" s="714" t="s">
        <v>3381</v>
      </c>
      <c r="B44" s="714" t="s">
        <v>36</v>
      </c>
      <c r="C44" s="66" t="s">
        <v>3382</v>
      </c>
      <c r="D44" s="66" t="s">
        <v>3383</v>
      </c>
      <c r="E44" s="67" t="s">
        <v>33</v>
      </c>
      <c r="F44" s="68">
        <v>45599</v>
      </c>
      <c r="G44" s="68">
        <v>45689</v>
      </c>
      <c r="H44" s="68">
        <v>45706</v>
      </c>
      <c r="I44" s="64">
        <v>186000</v>
      </c>
      <c r="J44" s="65"/>
      <c r="K44" s="65"/>
      <c r="L44" s="65"/>
      <c r="M44" s="715"/>
      <c r="O44" s="708"/>
      <c r="V44" s="262"/>
      <c r="W44" s="255"/>
      <c r="AC44" s="262"/>
      <c r="AD44" s="82"/>
    </row>
    <row r="45" spans="1:30">
      <c r="A45" s="714" t="s">
        <v>3384</v>
      </c>
      <c r="B45" s="714" t="s">
        <v>174</v>
      </c>
      <c r="C45" s="66" t="s">
        <v>3382</v>
      </c>
      <c r="D45" s="66" t="s">
        <v>3383</v>
      </c>
      <c r="E45" s="67" t="s">
        <v>33</v>
      </c>
      <c r="F45" s="68">
        <v>45599</v>
      </c>
      <c r="G45" s="68">
        <v>45611</v>
      </c>
      <c r="H45" s="68">
        <v>45678</v>
      </c>
      <c r="I45" s="64">
        <v>1294498.72</v>
      </c>
      <c r="J45" s="65"/>
      <c r="K45" s="65"/>
      <c r="L45" s="65"/>
      <c r="M45" s="715"/>
      <c r="O45" s="708"/>
      <c r="V45" s="262"/>
      <c r="W45" s="255"/>
      <c r="AC45" s="262"/>
      <c r="AD45" s="82"/>
    </row>
    <row r="46" spans="1:30">
      <c r="A46" s="714" t="s">
        <v>3385</v>
      </c>
      <c r="B46" s="714" t="s">
        <v>30</v>
      </c>
      <c r="C46" s="66" t="s">
        <v>3382</v>
      </c>
      <c r="D46" s="66" t="s">
        <v>3383</v>
      </c>
      <c r="E46" s="67" t="s">
        <v>33</v>
      </c>
      <c r="F46" s="68">
        <v>45599</v>
      </c>
      <c r="G46" s="68">
        <v>45611</v>
      </c>
      <c r="H46" s="68">
        <v>45639</v>
      </c>
      <c r="I46" s="64">
        <v>70000</v>
      </c>
      <c r="J46" s="65">
        <f>SUM(I44:I46)</f>
        <v>1550498.72</v>
      </c>
      <c r="K46" s="65">
        <v>721704</v>
      </c>
      <c r="L46" s="65">
        <f t="shared" si="0"/>
        <v>828794.72</v>
      </c>
      <c r="M46" s="715"/>
      <c r="O46" s="708">
        <f t="shared" si="1"/>
        <v>828794.72</v>
      </c>
      <c r="V46" s="262"/>
      <c r="W46" s="255"/>
      <c r="AC46" s="262"/>
      <c r="AD46" s="82"/>
    </row>
    <row r="47" spans="1:30">
      <c r="A47" s="714" t="s">
        <v>3092</v>
      </c>
      <c r="B47" s="714" t="s">
        <v>23</v>
      </c>
      <c r="C47" s="66" t="s">
        <v>3090</v>
      </c>
      <c r="D47" s="66" t="s">
        <v>3091</v>
      </c>
      <c r="E47" s="67" t="s">
        <v>33</v>
      </c>
      <c r="F47" s="68">
        <v>45378</v>
      </c>
      <c r="G47" s="68">
        <v>45393</v>
      </c>
      <c r="H47" s="68">
        <v>45401</v>
      </c>
      <c r="I47" s="64">
        <v>20890.7</v>
      </c>
      <c r="J47" s="65"/>
      <c r="K47" s="65"/>
      <c r="L47" s="65"/>
      <c r="M47" s="715"/>
      <c r="O47" s="708"/>
      <c r="V47" s="262"/>
      <c r="W47" s="255"/>
      <c r="AC47" s="262"/>
      <c r="AD47" s="82"/>
    </row>
    <row r="48" spans="1:30">
      <c r="A48" s="714" t="s">
        <v>3089</v>
      </c>
      <c r="B48" s="714" t="s">
        <v>174</v>
      </c>
      <c r="C48" s="66" t="s">
        <v>3090</v>
      </c>
      <c r="D48" s="66" t="s">
        <v>3091</v>
      </c>
      <c r="E48" s="67" t="s">
        <v>33</v>
      </c>
      <c r="F48" s="68">
        <v>45378</v>
      </c>
      <c r="G48" s="68">
        <v>45393</v>
      </c>
      <c r="H48" s="68">
        <v>45411</v>
      </c>
      <c r="I48" s="64">
        <v>2518058.8199999998</v>
      </c>
      <c r="J48" s="65">
        <f>+I48+I47</f>
        <v>2538949.52</v>
      </c>
      <c r="K48" s="65">
        <v>721704</v>
      </c>
      <c r="L48" s="65">
        <f t="shared" si="0"/>
        <v>1817245.52</v>
      </c>
      <c r="M48" s="715"/>
      <c r="O48" s="708">
        <f t="shared" si="1"/>
        <v>1817245.52</v>
      </c>
      <c r="V48" s="262"/>
      <c r="W48" s="255"/>
      <c r="AC48" s="262"/>
      <c r="AD48" s="82"/>
    </row>
    <row r="49" spans="1:30">
      <c r="A49" s="714" t="s">
        <v>3386</v>
      </c>
      <c r="B49" s="714" t="s">
        <v>174</v>
      </c>
      <c r="C49" s="66" t="s">
        <v>3387</v>
      </c>
      <c r="D49" s="66" t="s">
        <v>3327</v>
      </c>
      <c r="E49" s="67" t="s">
        <v>33</v>
      </c>
      <c r="F49" s="68">
        <v>45529</v>
      </c>
      <c r="G49" s="68">
        <v>45583</v>
      </c>
      <c r="H49" s="68">
        <v>45595</v>
      </c>
      <c r="I49" s="64">
        <v>1331261.6299999999</v>
      </c>
      <c r="J49" s="65">
        <f>+I49</f>
        <v>1331261.6299999999</v>
      </c>
      <c r="K49" s="65">
        <v>721704</v>
      </c>
      <c r="L49" s="65">
        <f t="shared" si="0"/>
        <v>609557.62999999989</v>
      </c>
      <c r="M49" s="715"/>
      <c r="O49" s="708">
        <f t="shared" si="1"/>
        <v>609557.62999999989</v>
      </c>
      <c r="V49" s="262"/>
      <c r="W49" s="255"/>
      <c r="AC49" s="262"/>
      <c r="AD49" s="82"/>
    </row>
    <row r="50" spans="1:30">
      <c r="A50" s="714" t="s">
        <v>3099</v>
      </c>
      <c r="B50" s="714" t="s">
        <v>174</v>
      </c>
      <c r="C50" s="66" t="s">
        <v>3094</v>
      </c>
      <c r="D50" s="66" t="s">
        <v>91</v>
      </c>
      <c r="E50" s="67" t="s">
        <v>33</v>
      </c>
      <c r="F50" s="68">
        <v>45325</v>
      </c>
      <c r="G50" s="68">
        <v>45426</v>
      </c>
      <c r="H50" s="68">
        <v>45428</v>
      </c>
      <c r="I50" s="64">
        <v>532742.25</v>
      </c>
      <c r="J50" s="65"/>
      <c r="K50" s="65"/>
      <c r="L50" s="65"/>
      <c r="M50" s="715"/>
      <c r="O50" s="708"/>
      <c r="V50" s="262"/>
      <c r="W50" s="255"/>
      <c r="AC50" s="262"/>
      <c r="AD50" s="82"/>
    </row>
    <row r="51" spans="1:30">
      <c r="A51" s="714" t="s">
        <v>3093</v>
      </c>
      <c r="B51" s="714" t="s">
        <v>1917</v>
      </c>
      <c r="C51" s="66" t="s">
        <v>3094</v>
      </c>
      <c r="D51" s="66" t="s">
        <v>91</v>
      </c>
      <c r="E51" s="67" t="s">
        <v>33</v>
      </c>
      <c r="F51" s="68">
        <v>45325</v>
      </c>
      <c r="G51" s="68">
        <v>45408</v>
      </c>
      <c r="H51" s="68">
        <v>45436</v>
      </c>
      <c r="I51" s="64">
        <v>7000</v>
      </c>
      <c r="J51" s="65"/>
      <c r="K51" s="65"/>
      <c r="L51" s="65"/>
      <c r="M51" s="715"/>
      <c r="O51" s="708"/>
      <c r="V51" s="262"/>
      <c r="W51" s="255"/>
      <c r="AC51" s="262"/>
      <c r="AD51" s="82"/>
    </row>
    <row r="52" spans="1:30">
      <c r="A52" s="714" t="s">
        <v>3095</v>
      </c>
      <c r="B52" s="714" t="s">
        <v>174</v>
      </c>
      <c r="C52" s="66" t="s">
        <v>3094</v>
      </c>
      <c r="D52" s="66" t="s">
        <v>91</v>
      </c>
      <c r="E52" s="67" t="s">
        <v>33</v>
      </c>
      <c r="F52" s="68">
        <v>45325</v>
      </c>
      <c r="G52" s="68">
        <v>45408</v>
      </c>
      <c r="H52" s="68">
        <v>45436</v>
      </c>
      <c r="I52" s="64">
        <v>100000</v>
      </c>
      <c r="J52" s="65"/>
      <c r="K52" s="65"/>
      <c r="L52" s="65"/>
      <c r="M52" s="715"/>
      <c r="O52" s="708"/>
      <c r="V52" s="262"/>
      <c r="W52" s="255"/>
      <c r="AC52" s="262"/>
      <c r="AD52" s="82"/>
    </row>
    <row r="53" spans="1:30">
      <c r="A53" s="714" t="s">
        <v>3096</v>
      </c>
      <c r="B53" s="714" t="s">
        <v>174</v>
      </c>
      <c r="C53" s="66" t="s">
        <v>3094</v>
      </c>
      <c r="D53" s="66" t="s">
        <v>91</v>
      </c>
      <c r="E53" s="67" t="s">
        <v>33</v>
      </c>
      <c r="F53" s="68">
        <v>45325</v>
      </c>
      <c r="G53" s="68">
        <v>45408</v>
      </c>
      <c r="H53" s="68">
        <v>45436</v>
      </c>
      <c r="I53" s="64">
        <v>22167.31</v>
      </c>
      <c r="J53" s="65"/>
      <c r="K53" s="65"/>
      <c r="L53" s="65"/>
      <c r="M53" s="715"/>
      <c r="O53" s="708"/>
      <c r="V53" s="262"/>
      <c r="W53" s="255"/>
      <c r="AC53" s="262"/>
      <c r="AD53" s="82"/>
    </row>
    <row r="54" spans="1:30">
      <c r="A54" s="714" t="s">
        <v>3097</v>
      </c>
      <c r="B54" s="714" t="s">
        <v>23</v>
      </c>
      <c r="C54" s="66" t="s">
        <v>3094</v>
      </c>
      <c r="D54" s="66" t="s">
        <v>91</v>
      </c>
      <c r="E54" s="67" t="s">
        <v>33</v>
      </c>
      <c r="F54" s="68">
        <v>45325</v>
      </c>
      <c r="G54" s="68">
        <v>45408</v>
      </c>
      <c r="H54" s="68">
        <v>45436</v>
      </c>
      <c r="I54" s="64">
        <v>24500</v>
      </c>
      <c r="J54" s="65"/>
      <c r="K54" s="65"/>
      <c r="L54" s="65"/>
      <c r="M54" s="715"/>
      <c r="O54" s="708"/>
      <c r="V54" s="262"/>
      <c r="W54" s="255"/>
      <c r="AC54" s="262"/>
      <c r="AD54" s="82"/>
    </row>
    <row r="55" spans="1:30">
      <c r="A55" s="714" t="s">
        <v>3098</v>
      </c>
      <c r="B55" s="714" t="s">
        <v>93</v>
      </c>
      <c r="C55" s="66" t="s">
        <v>3094</v>
      </c>
      <c r="D55" s="66" t="s">
        <v>91</v>
      </c>
      <c r="E55" s="67" t="s">
        <v>33</v>
      </c>
      <c r="F55" s="68">
        <v>45325</v>
      </c>
      <c r="G55" s="68">
        <v>45421</v>
      </c>
      <c r="H55" s="68">
        <v>45436</v>
      </c>
      <c r="I55" s="64">
        <v>205000</v>
      </c>
      <c r="J55" s="65">
        <f>SUM(I50:I55)</f>
        <v>891409.56</v>
      </c>
      <c r="K55" s="65">
        <v>721704</v>
      </c>
      <c r="L55" s="65">
        <f t="shared" si="0"/>
        <v>169705.56000000006</v>
      </c>
      <c r="M55" s="715"/>
      <c r="O55" s="708">
        <f t="shared" si="1"/>
        <v>169705.56000000006</v>
      </c>
      <c r="V55" s="262"/>
      <c r="W55" s="255"/>
      <c r="AC55" s="262"/>
      <c r="AD55" s="82"/>
    </row>
    <row r="56" spans="1:30">
      <c r="A56" s="714" t="s">
        <v>3171</v>
      </c>
      <c r="B56" s="714" t="s">
        <v>174</v>
      </c>
      <c r="C56" s="66" t="s">
        <v>3180</v>
      </c>
      <c r="D56" s="66" t="s">
        <v>3185</v>
      </c>
      <c r="E56" s="67" t="s">
        <v>33</v>
      </c>
      <c r="F56" s="68">
        <v>45414</v>
      </c>
      <c r="G56" s="68">
        <v>45453</v>
      </c>
      <c r="H56" s="68">
        <v>45464</v>
      </c>
      <c r="I56" s="64">
        <v>305279.07</v>
      </c>
      <c r="J56" s="65"/>
      <c r="K56" s="65"/>
      <c r="L56" s="65"/>
      <c r="M56" s="715"/>
      <c r="O56" s="708"/>
      <c r="V56" s="262"/>
      <c r="W56" s="255"/>
      <c r="AC56" s="262"/>
      <c r="AD56" s="82"/>
    </row>
    <row r="57" spans="1:30">
      <c r="A57" s="714" t="s">
        <v>3170</v>
      </c>
      <c r="B57" s="714" t="s">
        <v>93</v>
      </c>
      <c r="C57" s="66" t="s">
        <v>3180</v>
      </c>
      <c r="D57" s="66" t="s">
        <v>3185</v>
      </c>
      <c r="E57" s="67" t="s">
        <v>33</v>
      </c>
      <c r="F57" s="68">
        <v>45414</v>
      </c>
      <c r="G57" s="68">
        <v>45453</v>
      </c>
      <c r="H57" s="68">
        <v>45464</v>
      </c>
      <c r="I57" s="64">
        <v>500000</v>
      </c>
      <c r="J57" s="65">
        <f>+I57+I56</f>
        <v>805279.07000000007</v>
      </c>
      <c r="K57" s="65">
        <v>721704</v>
      </c>
      <c r="L57" s="65">
        <f t="shared" si="0"/>
        <v>83575.070000000065</v>
      </c>
      <c r="M57" s="715"/>
      <c r="O57" s="708">
        <f t="shared" si="1"/>
        <v>83575.070000000065</v>
      </c>
      <c r="V57" s="262"/>
      <c r="W57" s="255"/>
      <c r="AC57" s="262"/>
      <c r="AD57" s="82"/>
    </row>
    <row r="58" spans="1:30">
      <c r="A58" s="714" t="s">
        <v>3201</v>
      </c>
      <c r="B58" s="714" t="s">
        <v>23</v>
      </c>
      <c r="C58" s="66" t="s">
        <v>3207</v>
      </c>
      <c r="D58" s="66" t="s">
        <v>38</v>
      </c>
      <c r="E58" s="67" t="s">
        <v>33</v>
      </c>
      <c r="F58" s="63">
        <v>45434</v>
      </c>
      <c r="G58" s="63">
        <v>45453</v>
      </c>
      <c r="H58" s="63">
        <v>45461</v>
      </c>
      <c r="I58" s="64">
        <v>103500</v>
      </c>
      <c r="J58" s="65"/>
      <c r="K58" s="65"/>
      <c r="L58" s="65"/>
      <c r="M58" s="715"/>
      <c r="O58" s="708"/>
      <c r="V58" s="262"/>
      <c r="W58" s="255"/>
      <c r="AC58" s="262"/>
      <c r="AD58" s="82"/>
    </row>
    <row r="59" spans="1:30">
      <c r="A59" s="714" t="s">
        <v>3199</v>
      </c>
      <c r="B59" s="714" t="s">
        <v>1900</v>
      </c>
      <c r="C59" s="66" t="s">
        <v>3207</v>
      </c>
      <c r="D59" s="66" t="s">
        <v>38</v>
      </c>
      <c r="E59" s="67" t="s">
        <v>33</v>
      </c>
      <c r="F59" s="63">
        <v>45434</v>
      </c>
      <c r="G59" s="63">
        <v>45468</v>
      </c>
      <c r="H59" s="63">
        <v>45481</v>
      </c>
      <c r="I59" s="64">
        <v>65000</v>
      </c>
      <c r="J59" s="65"/>
      <c r="K59" s="65"/>
      <c r="L59" s="65"/>
      <c r="M59" s="715"/>
      <c r="O59" s="708"/>
      <c r="V59" s="262"/>
      <c r="W59" s="255"/>
      <c r="AC59" s="262"/>
      <c r="AD59" s="82"/>
    </row>
    <row r="60" spans="1:30">
      <c r="A60" s="714" t="s">
        <v>3200</v>
      </c>
      <c r="B60" s="714" t="s">
        <v>174</v>
      </c>
      <c r="C60" s="66" t="s">
        <v>3207</v>
      </c>
      <c r="D60" s="66" t="s">
        <v>38</v>
      </c>
      <c r="E60" s="67" t="s">
        <v>33</v>
      </c>
      <c r="F60" s="63">
        <v>45434</v>
      </c>
      <c r="G60" s="63">
        <v>45453</v>
      </c>
      <c r="H60" s="63">
        <v>45461</v>
      </c>
      <c r="I60" s="64">
        <v>607166.65</v>
      </c>
      <c r="J60" s="65">
        <f>SUM(I58:I60)</f>
        <v>775666.65</v>
      </c>
      <c r="K60" s="65">
        <v>721704</v>
      </c>
      <c r="L60" s="65">
        <f t="shared" si="0"/>
        <v>53962.650000000023</v>
      </c>
      <c r="M60" s="715"/>
      <c r="O60" s="708">
        <f t="shared" si="1"/>
        <v>53962.650000000023</v>
      </c>
      <c r="V60" s="262"/>
      <c r="W60" s="255"/>
      <c r="AC60" s="262"/>
      <c r="AD60" s="82"/>
    </row>
    <row r="61" spans="1:30">
      <c r="A61" s="714" t="s">
        <v>3173</v>
      </c>
      <c r="B61" s="714" t="s">
        <v>23</v>
      </c>
      <c r="C61" s="66" t="s">
        <v>3181</v>
      </c>
      <c r="D61" s="66" t="s">
        <v>3186</v>
      </c>
      <c r="E61" s="67" t="s">
        <v>33</v>
      </c>
      <c r="F61" s="68">
        <v>45397</v>
      </c>
      <c r="G61" s="68">
        <v>45436</v>
      </c>
      <c r="H61" s="68">
        <v>45454</v>
      </c>
      <c r="I61" s="64">
        <v>85535.76</v>
      </c>
      <c r="J61" s="65"/>
      <c r="K61" s="65"/>
      <c r="L61" s="65"/>
      <c r="M61" s="715"/>
      <c r="O61" s="708"/>
      <c r="V61" s="262"/>
      <c r="W61" s="255"/>
      <c r="AC61" s="262"/>
      <c r="AD61" s="82"/>
    </row>
    <row r="62" spans="1:30">
      <c r="A62" s="714" t="s">
        <v>3172</v>
      </c>
      <c r="B62" s="714" t="s">
        <v>174</v>
      </c>
      <c r="C62" s="66" t="s">
        <v>3181</v>
      </c>
      <c r="D62" s="66" t="s">
        <v>3186</v>
      </c>
      <c r="E62" s="67" t="s">
        <v>33</v>
      </c>
      <c r="F62" s="68">
        <v>45397</v>
      </c>
      <c r="G62" s="68">
        <v>45436</v>
      </c>
      <c r="H62" s="68">
        <v>45454</v>
      </c>
      <c r="I62" s="64">
        <v>867938.79</v>
      </c>
      <c r="J62" s="65">
        <f>+I62+I61</f>
        <v>953474.55</v>
      </c>
      <c r="K62" s="65">
        <v>721704</v>
      </c>
      <c r="L62" s="65">
        <f t="shared" si="0"/>
        <v>231770.55000000005</v>
      </c>
      <c r="M62" s="715"/>
      <c r="O62" s="708">
        <f t="shared" si="1"/>
        <v>231770.55000000005</v>
      </c>
    </row>
    <row r="63" spans="1:30">
      <c r="A63" s="714" t="s">
        <v>3388</v>
      </c>
      <c r="B63" s="714" t="s">
        <v>174</v>
      </c>
      <c r="C63" s="66" t="s">
        <v>3389</v>
      </c>
      <c r="D63" s="66" t="s">
        <v>603</v>
      </c>
      <c r="E63" s="66" t="s">
        <v>33</v>
      </c>
      <c r="F63" s="68">
        <v>45655</v>
      </c>
      <c r="G63" s="68">
        <v>45727</v>
      </c>
      <c r="H63" s="68">
        <v>45785</v>
      </c>
      <c r="I63" s="64">
        <v>850000</v>
      </c>
      <c r="J63" s="65">
        <f>+I63</f>
        <v>850000</v>
      </c>
      <c r="K63" s="65">
        <v>721704</v>
      </c>
      <c r="L63" s="65">
        <f t="shared" si="0"/>
        <v>128296</v>
      </c>
      <c r="M63" s="715"/>
      <c r="O63" s="708">
        <f t="shared" si="1"/>
        <v>128296</v>
      </c>
    </row>
    <row r="64" spans="1:30">
      <c r="A64" s="714" t="s">
        <v>3203</v>
      </c>
      <c r="B64" s="714" t="s">
        <v>174</v>
      </c>
      <c r="C64" s="66" t="s">
        <v>3208</v>
      </c>
      <c r="D64" s="66" t="s">
        <v>3209</v>
      </c>
      <c r="E64" s="67" t="s">
        <v>33</v>
      </c>
      <c r="F64" s="63">
        <v>45462</v>
      </c>
      <c r="G64" s="63">
        <v>45481</v>
      </c>
      <c r="H64" s="63">
        <v>45498</v>
      </c>
      <c r="I64" s="64">
        <v>2010000</v>
      </c>
      <c r="J64" s="65"/>
      <c r="K64" s="65"/>
      <c r="L64" s="65"/>
      <c r="M64" s="715"/>
      <c r="O64" s="708"/>
    </row>
    <row r="65" spans="1:15">
      <c r="A65" s="714" t="s">
        <v>3202</v>
      </c>
      <c r="B65" s="714" t="s">
        <v>23</v>
      </c>
      <c r="C65" s="66" t="s">
        <v>3208</v>
      </c>
      <c r="D65" s="66" t="s">
        <v>3209</v>
      </c>
      <c r="E65" s="67" t="s">
        <v>33</v>
      </c>
      <c r="F65" s="63">
        <v>45462</v>
      </c>
      <c r="G65" s="63">
        <v>45481</v>
      </c>
      <c r="H65" s="63">
        <v>45498</v>
      </c>
      <c r="I65" s="64">
        <v>111261.31</v>
      </c>
      <c r="J65" s="65">
        <f>+I65+I64</f>
        <v>2121261.31</v>
      </c>
      <c r="K65" s="65">
        <v>721704</v>
      </c>
      <c r="L65" s="65">
        <f t="shared" si="0"/>
        <v>1399557.31</v>
      </c>
      <c r="M65" s="715"/>
      <c r="O65" s="708">
        <f t="shared" si="1"/>
        <v>1399557.31</v>
      </c>
    </row>
    <row r="66" spans="1:15">
      <c r="A66" s="714" t="s">
        <v>3390</v>
      </c>
      <c r="B66" s="714" t="s">
        <v>174</v>
      </c>
      <c r="C66" s="66" t="s">
        <v>3391</v>
      </c>
      <c r="D66" s="66" t="s">
        <v>1232</v>
      </c>
      <c r="E66" s="67" t="s">
        <v>33</v>
      </c>
      <c r="F66" s="68">
        <v>45654</v>
      </c>
      <c r="G66" s="68">
        <v>45754</v>
      </c>
      <c r="H66" s="68">
        <v>45822</v>
      </c>
      <c r="I66" s="64">
        <v>1017428.18</v>
      </c>
      <c r="J66" s="65">
        <f>+I66</f>
        <v>1017428.18</v>
      </c>
      <c r="K66" s="65">
        <v>721704</v>
      </c>
      <c r="L66" s="65">
        <f t="shared" si="0"/>
        <v>295724.18000000005</v>
      </c>
      <c r="M66" s="715"/>
      <c r="O66" s="708">
        <f t="shared" si="1"/>
        <v>295724.18000000005</v>
      </c>
    </row>
    <row r="67" spans="1:15">
      <c r="A67" s="714" t="s">
        <v>3392</v>
      </c>
      <c r="B67" s="714" t="s">
        <v>174</v>
      </c>
      <c r="C67" s="66" t="s">
        <v>3393</v>
      </c>
      <c r="D67" s="66" t="s">
        <v>38</v>
      </c>
      <c r="E67" s="67" t="s">
        <v>33</v>
      </c>
      <c r="F67" s="63">
        <v>45436</v>
      </c>
      <c r="G67" s="63">
        <v>45593</v>
      </c>
      <c r="H67" s="63">
        <v>45604</v>
      </c>
      <c r="I67" s="64">
        <v>895307.73</v>
      </c>
      <c r="J67" s="65"/>
      <c r="K67" s="65"/>
      <c r="L67" s="65"/>
      <c r="M67" s="715"/>
      <c r="O67" s="708"/>
    </row>
    <row r="68" spans="1:15">
      <c r="A68" s="714" t="s">
        <v>3394</v>
      </c>
      <c r="B68" s="714" t="s">
        <v>23</v>
      </c>
      <c r="C68" s="66" t="s">
        <v>3393</v>
      </c>
      <c r="D68" s="66" t="s">
        <v>38</v>
      </c>
      <c r="E68" s="67" t="s">
        <v>33</v>
      </c>
      <c r="F68" s="68">
        <v>45436</v>
      </c>
      <c r="G68" s="68">
        <v>45579</v>
      </c>
      <c r="H68" s="68">
        <v>45590</v>
      </c>
      <c r="I68" s="64">
        <v>98834.03</v>
      </c>
      <c r="J68" s="65"/>
      <c r="K68" s="65"/>
      <c r="L68" s="65"/>
      <c r="M68" s="715"/>
      <c r="O68" s="708"/>
    </row>
    <row r="69" spans="1:15">
      <c r="A69" s="714" t="s">
        <v>3395</v>
      </c>
      <c r="B69" s="714" t="s">
        <v>174</v>
      </c>
      <c r="C69" s="66" t="s">
        <v>3393</v>
      </c>
      <c r="D69" s="66" t="s">
        <v>38</v>
      </c>
      <c r="E69" s="67" t="s">
        <v>33</v>
      </c>
      <c r="F69" s="68">
        <v>45436</v>
      </c>
      <c r="G69" s="68">
        <v>45579</v>
      </c>
      <c r="H69" s="68">
        <v>45589</v>
      </c>
      <c r="I69" s="64">
        <v>500000</v>
      </c>
      <c r="J69" s="65">
        <f>SUM(I67:I69)</f>
        <v>1494141.76</v>
      </c>
      <c r="K69" s="65">
        <v>721704</v>
      </c>
      <c r="L69" s="65">
        <f t="shared" si="0"/>
        <v>772437.76</v>
      </c>
      <c r="M69" s="715"/>
      <c r="O69" s="708">
        <f t="shared" si="1"/>
        <v>772437.76</v>
      </c>
    </row>
    <row r="70" spans="1:15">
      <c r="A70" s="714" t="s">
        <v>3226</v>
      </c>
      <c r="B70" s="714" t="s">
        <v>174</v>
      </c>
      <c r="C70" s="66" t="s">
        <v>3225</v>
      </c>
      <c r="D70" s="66" t="s">
        <v>2291</v>
      </c>
      <c r="E70" s="66" t="s">
        <v>33</v>
      </c>
      <c r="F70" s="68">
        <v>45447</v>
      </c>
      <c r="G70" s="68">
        <v>45538</v>
      </c>
      <c r="H70" s="68">
        <v>45553</v>
      </c>
      <c r="I70" s="64">
        <v>686610.73</v>
      </c>
      <c r="J70" s="65"/>
      <c r="K70" s="65"/>
      <c r="L70" s="65"/>
      <c r="M70" s="715"/>
      <c r="O70" s="708"/>
    </row>
    <row r="71" spans="1:15">
      <c r="A71" s="714" t="s">
        <v>3224</v>
      </c>
      <c r="B71" s="714" t="s">
        <v>30</v>
      </c>
      <c r="C71" s="66" t="s">
        <v>3225</v>
      </c>
      <c r="D71" s="66" t="s">
        <v>2291</v>
      </c>
      <c r="E71" s="67" t="s">
        <v>33</v>
      </c>
      <c r="F71" s="63">
        <v>45447</v>
      </c>
      <c r="G71" s="63">
        <v>45538</v>
      </c>
      <c r="H71" s="63">
        <v>45553</v>
      </c>
      <c r="I71" s="64">
        <v>50400</v>
      </c>
      <c r="J71" s="65">
        <f>+I71+I70</f>
        <v>737010.73</v>
      </c>
      <c r="K71" s="65">
        <v>721704</v>
      </c>
      <c r="L71" s="65">
        <f t="shared" si="0"/>
        <v>15306.729999999981</v>
      </c>
      <c r="M71" s="715"/>
      <c r="O71" s="708">
        <f t="shared" si="1"/>
        <v>15306.729999999981</v>
      </c>
    </row>
    <row r="72" spans="1:15">
      <c r="A72" s="714" t="s">
        <v>3396</v>
      </c>
      <c r="B72" s="714" t="s">
        <v>174</v>
      </c>
      <c r="C72" s="66" t="s">
        <v>3397</v>
      </c>
      <c r="D72" s="66" t="s">
        <v>3398</v>
      </c>
      <c r="E72" s="67" t="s">
        <v>33</v>
      </c>
      <c r="F72" s="63">
        <v>45634</v>
      </c>
      <c r="G72" s="63">
        <v>45698</v>
      </c>
      <c r="H72" s="63">
        <v>45807</v>
      </c>
      <c r="I72" s="64">
        <v>10000</v>
      </c>
      <c r="J72" s="65"/>
      <c r="K72" s="65"/>
      <c r="L72" s="65"/>
      <c r="M72" s="715"/>
      <c r="O72" s="708"/>
    </row>
    <row r="73" spans="1:15">
      <c r="A73" s="714" t="s">
        <v>3399</v>
      </c>
      <c r="B73" s="714" t="s">
        <v>1900</v>
      </c>
      <c r="C73" s="66" t="s">
        <v>3397</v>
      </c>
      <c r="D73" s="66" t="s">
        <v>3398</v>
      </c>
      <c r="E73" s="66" t="s">
        <v>33</v>
      </c>
      <c r="F73" s="68">
        <v>45634</v>
      </c>
      <c r="G73" s="68">
        <v>45679</v>
      </c>
      <c r="H73" s="68">
        <v>45686</v>
      </c>
      <c r="I73" s="64">
        <v>205000</v>
      </c>
      <c r="J73" s="65"/>
      <c r="K73" s="65"/>
      <c r="L73" s="65"/>
      <c r="M73" s="715"/>
      <c r="O73" s="708"/>
    </row>
    <row r="74" spans="1:15">
      <c r="A74" s="714" t="s">
        <v>3400</v>
      </c>
      <c r="B74" s="714" t="s">
        <v>23</v>
      </c>
      <c r="C74" s="66" t="s">
        <v>3397</v>
      </c>
      <c r="D74" s="66" t="s">
        <v>3398</v>
      </c>
      <c r="E74" s="66" t="s">
        <v>33</v>
      </c>
      <c r="F74" s="68">
        <v>45634</v>
      </c>
      <c r="G74" s="68">
        <v>45686</v>
      </c>
      <c r="H74" s="68">
        <v>45706</v>
      </c>
      <c r="I74" s="64">
        <v>10306.14</v>
      </c>
      <c r="J74" s="65"/>
      <c r="K74" s="65"/>
      <c r="L74" s="65"/>
      <c r="M74" s="715"/>
      <c r="O74" s="708"/>
    </row>
    <row r="75" spans="1:15">
      <c r="A75" s="714" t="s">
        <v>3401</v>
      </c>
      <c r="B75" s="714" t="s">
        <v>23</v>
      </c>
      <c r="C75" s="66" t="s">
        <v>3397</v>
      </c>
      <c r="D75" s="66" t="s">
        <v>3398</v>
      </c>
      <c r="E75" s="66" t="s">
        <v>33</v>
      </c>
      <c r="F75" s="68">
        <v>45634</v>
      </c>
      <c r="G75" s="68">
        <v>45698</v>
      </c>
      <c r="H75" s="68">
        <v>45729</v>
      </c>
      <c r="I75" s="64">
        <v>90000</v>
      </c>
      <c r="J75" s="65"/>
      <c r="K75" s="65"/>
      <c r="L75" s="65"/>
      <c r="M75" s="715"/>
      <c r="O75" s="708"/>
    </row>
    <row r="76" spans="1:15">
      <c r="A76" s="714" t="s">
        <v>3396</v>
      </c>
      <c r="B76" s="714" t="s">
        <v>174</v>
      </c>
      <c r="C76" s="66" t="s">
        <v>3397</v>
      </c>
      <c r="D76" s="66" t="s">
        <v>3398</v>
      </c>
      <c r="E76" s="67" t="s">
        <v>33</v>
      </c>
      <c r="F76" s="63">
        <v>45634</v>
      </c>
      <c r="G76" s="63">
        <v>45698</v>
      </c>
      <c r="H76" s="63">
        <v>45776</v>
      </c>
      <c r="I76" s="64">
        <v>418993.53</v>
      </c>
      <c r="J76" s="65">
        <f>SUM(I72:I76)</f>
        <v>734299.67</v>
      </c>
      <c r="K76" s="65">
        <v>721704</v>
      </c>
      <c r="L76" s="65">
        <f t="shared" ref="L76:L139" si="2">+J76-K76</f>
        <v>12595.670000000042</v>
      </c>
      <c r="M76" s="715"/>
      <c r="O76" s="708">
        <f t="shared" ref="O76:O136" si="3">IF($J76&gt;P$8,$J76-P$8,0)</f>
        <v>12595.670000000042</v>
      </c>
    </row>
    <row r="77" spans="1:15">
      <c r="A77" s="714" t="s">
        <v>3402</v>
      </c>
      <c r="B77" s="714" t="s">
        <v>174</v>
      </c>
      <c r="C77" s="66" t="s">
        <v>3403</v>
      </c>
      <c r="D77" s="66" t="s">
        <v>3404</v>
      </c>
      <c r="E77" s="67" t="s">
        <v>33</v>
      </c>
      <c r="F77" s="63">
        <v>45653</v>
      </c>
      <c r="G77" s="63">
        <v>45743</v>
      </c>
      <c r="H77" s="63">
        <v>45847</v>
      </c>
      <c r="I77" s="64">
        <f>617547.77+7497.77</f>
        <v>625045.54</v>
      </c>
      <c r="J77" s="65"/>
      <c r="K77" s="65"/>
      <c r="L77" s="65"/>
      <c r="M77" s="715"/>
      <c r="O77" s="708"/>
    </row>
    <row r="78" spans="1:15">
      <c r="A78" s="714" t="s">
        <v>3405</v>
      </c>
      <c r="B78" s="714" t="s">
        <v>23</v>
      </c>
      <c r="C78" s="66" t="s">
        <v>3403</v>
      </c>
      <c r="D78" s="66" t="s">
        <v>222</v>
      </c>
      <c r="E78" s="67" t="s">
        <v>33</v>
      </c>
      <c r="F78" s="63">
        <v>45653</v>
      </c>
      <c r="G78" s="63">
        <v>45743</v>
      </c>
      <c r="H78" s="63">
        <v>45762</v>
      </c>
      <c r="I78" s="64">
        <v>310000</v>
      </c>
      <c r="J78" s="65">
        <f>+I78+I77</f>
        <v>935045.54</v>
      </c>
      <c r="K78" s="65">
        <v>721704</v>
      </c>
      <c r="L78" s="65">
        <f t="shared" si="2"/>
        <v>213341.54000000004</v>
      </c>
      <c r="M78" s="715"/>
      <c r="O78" s="708">
        <f t="shared" si="3"/>
        <v>213341.54000000004</v>
      </c>
    </row>
    <row r="79" spans="1:15">
      <c r="A79" s="714" t="s">
        <v>3406</v>
      </c>
      <c r="B79" s="714" t="s">
        <v>23</v>
      </c>
      <c r="C79" s="66" t="s">
        <v>3407</v>
      </c>
      <c r="D79" s="66" t="s">
        <v>334</v>
      </c>
      <c r="E79" s="67" t="s">
        <v>33</v>
      </c>
      <c r="F79" s="68">
        <v>45604</v>
      </c>
      <c r="G79" s="68">
        <v>45680</v>
      </c>
      <c r="H79" s="68">
        <v>45686</v>
      </c>
      <c r="I79" s="64">
        <v>6520</v>
      </c>
      <c r="J79" s="65"/>
      <c r="K79" s="65"/>
      <c r="L79" s="65"/>
      <c r="M79" s="715"/>
      <c r="O79" s="708"/>
    </row>
    <row r="80" spans="1:15">
      <c r="A80" s="714" t="s">
        <v>3408</v>
      </c>
      <c r="B80" s="714" t="s">
        <v>23</v>
      </c>
      <c r="C80" s="66" t="s">
        <v>3407</v>
      </c>
      <c r="D80" s="66" t="s">
        <v>334</v>
      </c>
      <c r="E80" s="67" t="s">
        <v>33</v>
      </c>
      <c r="F80" s="63">
        <v>45604</v>
      </c>
      <c r="G80" s="63">
        <v>45646</v>
      </c>
      <c r="H80" s="63">
        <v>45686</v>
      </c>
      <c r="I80" s="64">
        <v>106305</v>
      </c>
      <c r="J80" s="65"/>
      <c r="K80" s="65"/>
      <c r="L80" s="65"/>
      <c r="M80" s="715"/>
      <c r="O80" s="708"/>
    </row>
    <row r="81" spans="1:15">
      <c r="A81" s="714" t="s">
        <v>3409</v>
      </c>
      <c r="B81" s="714" t="s">
        <v>174</v>
      </c>
      <c r="C81" s="66" t="s">
        <v>3407</v>
      </c>
      <c r="D81" s="66" t="s">
        <v>334</v>
      </c>
      <c r="E81" s="67" t="s">
        <v>33</v>
      </c>
      <c r="F81" s="63">
        <v>45604</v>
      </c>
      <c r="G81" s="63">
        <v>45646</v>
      </c>
      <c r="H81" s="63">
        <v>45686</v>
      </c>
      <c r="I81" s="64">
        <v>752527.78</v>
      </c>
      <c r="J81" s="65"/>
      <c r="K81" s="65"/>
      <c r="L81" s="65"/>
      <c r="M81" s="715"/>
      <c r="O81" s="708"/>
    </row>
    <row r="82" spans="1:15">
      <c r="A82" s="714" t="s">
        <v>3410</v>
      </c>
      <c r="B82" s="714" t="s">
        <v>1900</v>
      </c>
      <c r="C82" s="66" t="s">
        <v>3407</v>
      </c>
      <c r="D82" s="66" t="s">
        <v>334</v>
      </c>
      <c r="E82" s="67" t="s">
        <v>33</v>
      </c>
      <c r="F82" s="68">
        <v>45604</v>
      </c>
      <c r="G82" s="68">
        <v>45680</v>
      </c>
      <c r="H82" s="68">
        <v>45686</v>
      </c>
      <c r="I82" s="64">
        <v>17000</v>
      </c>
      <c r="J82" s="65">
        <f>SUM(I79:I82)</f>
        <v>882352.78</v>
      </c>
      <c r="K82" s="65">
        <v>721704</v>
      </c>
      <c r="L82" s="65">
        <f t="shared" si="2"/>
        <v>160648.78000000003</v>
      </c>
      <c r="M82" s="715"/>
      <c r="O82" s="708">
        <f t="shared" si="3"/>
        <v>160648.78000000003</v>
      </c>
    </row>
    <row r="83" spans="1:15">
      <c r="A83" s="714" t="s">
        <v>3227</v>
      </c>
      <c r="B83" s="714" t="s">
        <v>1917</v>
      </c>
      <c r="C83" s="66" t="s">
        <v>3101</v>
      </c>
      <c r="D83" s="66" t="s">
        <v>3102</v>
      </c>
      <c r="E83" s="67" t="s">
        <v>33</v>
      </c>
      <c r="F83" s="68">
        <v>45332</v>
      </c>
      <c r="G83" s="68">
        <v>45415</v>
      </c>
      <c r="H83" s="68">
        <v>45432</v>
      </c>
      <c r="I83" s="64">
        <v>7000</v>
      </c>
      <c r="J83" s="65"/>
      <c r="K83" s="65"/>
      <c r="L83" s="65"/>
      <c r="M83" s="715"/>
      <c r="O83" s="708"/>
    </row>
    <row r="84" spans="1:15">
      <c r="A84" s="714" t="s">
        <v>3103</v>
      </c>
      <c r="B84" s="714" t="s">
        <v>174</v>
      </c>
      <c r="C84" s="66" t="s">
        <v>3101</v>
      </c>
      <c r="D84" s="66" t="s">
        <v>3102</v>
      </c>
      <c r="E84" s="67" t="s">
        <v>33</v>
      </c>
      <c r="F84" s="68">
        <v>45332</v>
      </c>
      <c r="G84" s="68">
        <v>45372</v>
      </c>
      <c r="H84" s="68">
        <v>45394</v>
      </c>
      <c r="I84" s="64">
        <v>822400</v>
      </c>
      <c r="J84" s="65"/>
      <c r="K84" s="65"/>
      <c r="L84" s="65"/>
      <c r="M84" s="715"/>
      <c r="O84" s="708"/>
    </row>
    <row r="85" spans="1:15">
      <c r="A85" s="714" t="s">
        <v>3104</v>
      </c>
      <c r="B85" s="714" t="s">
        <v>23</v>
      </c>
      <c r="C85" s="66" t="s">
        <v>3101</v>
      </c>
      <c r="D85" s="66" t="s">
        <v>3102</v>
      </c>
      <c r="E85" s="67" t="s">
        <v>33</v>
      </c>
      <c r="F85" s="68">
        <v>45332</v>
      </c>
      <c r="G85" s="68">
        <v>45372</v>
      </c>
      <c r="H85" s="68">
        <v>45394</v>
      </c>
      <c r="I85" s="64">
        <v>165000</v>
      </c>
      <c r="J85" s="65"/>
      <c r="K85" s="65"/>
      <c r="L85" s="65"/>
      <c r="M85" s="715"/>
      <c r="O85" s="708"/>
    </row>
    <row r="86" spans="1:15">
      <c r="A86" s="714" t="s">
        <v>3105</v>
      </c>
      <c r="B86" s="714" t="s">
        <v>174</v>
      </c>
      <c r="C86" s="66" t="s">
        <v>3101</v>
      </c>
      <c r="D86" s="66" t="s">
        <v>3102</v>
      </c>
      <c r="E86" s="67" t="s">
        <v>33</v>
      </c>
      <c r="F86" s="68">
        <v>45332</v>
      </c>
      <c r="G86" s="68">
        <v>45345</v>
      </c>
      <c r="H86" s="68">
        <v>45356</v>
      </c>
      <c r="I86" s="64">
        <v>45546.82</v>
      </c>
      <c r="J86" s="65"/>
      <c r="K86" s="65"/>
      <c r="L86" s="65"/>
      <c r="M86" s="715"/>
      <c r="O86" s="708"/>
    </row>
    <row r="87" spans="1:15">
      <c r="A87" s="714" t="s">
        <v>3106</v>
      </c>
      <c r="B87" s="714" t="s">
        <v>23</v>
      </c>
      <c r="C87" s="66" t="s">
        <v>3101</v>
      </c>
      <c r="D87" s="66" t="s">
        <v>3102</v>
      </c>
      <c r="E87" s="67" t="s">
        <v>33</v>
      </c>
      <c r="F87" s="68">
        <v>45332</v>
      </c>
      <c r="G87" s="68">
        <v>45345</v>
      </c>
      <c r="H87" s="68">
        <v>45356</v>
      </c>
      <c r="I87" s="64">
        <v>16852.09</v>
      </c>
      <c r="J87" s="65"/>
      <c r="K87" s="65"/>
      <c r="L87" s="65"/>
      <c r="M87" s="715"/>
      <c r="O87" s="708"/>
    </row>
    <row r="88" spans="1:15">
      <c r="A88" s="714" t="s">
        <v>3107</v>
      </c>
      <c r="B88" s="714" t="s">
        <v>1917</v>
      </c>
      <c r="C88" s="66" t="s">
        <v>3101</v>
      </c>
      <c r="D88" s="66" t="s">
        <v>3102</v>
      </c>
      <c r="E88" s="67" t="s">
        <v>33</v>
      </c>
      <c r="F88" s="68">
        <v>45332</v>
      </c>
      <c r="G88" s="68">
        <v>45390</v>
      </c>
      <c r="H88" s="68">
        <v>45392</v>
      </c>
      <c r="I88" s="64">
        <v>7000</v>
      </c>
      <c r="J88" s="65"/>
      <c r="K88" s="65"/>
      <c r="L88" s="65"/>
      <c r="M88" s="715"/>
      <c r="O88" s="708"/>
    </row>
    <row r="89" spans="1:15">
      <c r="A89" s="714" t="s">
        <v>3100</v>
      </c>
      <c r="B89" s="714" t="s">
        <v>174</v>
      </c>
      <c r="C89" s="66" t="s">
        <v>3101</v>
      </c>
      <c r="D89" s="66" t="s">
        <v>3102</v>
      </c>
      <c r="E89" s="67" t="s">
        <v>33</v>
      </c>
      <c r="F89" s="68">
        <v>45332</v>
      </c>
      <c r="G89" s="68">
        <v>45400</v>
      </c>
      <c r="H89" s="68">
        <v>45439</v>
      </c>
      <c r="I89" s="64">
        <v>205000</v>
      </c>
      <c r="J89" s="65">
        <f>SUM(I83:I89)</f>
        <v>1268798.9099999999</v>
      </c>
      <c r="K89" s="65">
        <v>721704</v>
      </c>
      <c r="L89" s="65">
        <f t="shared" si="2"/>
        <v>547094.90999999992</v>
      </c>
      <c r="M89" s="715"/>
      <c r="O89" s="708">
        <f t="shared" si="3"/>
        <v>547094.90999999992</v>
      </c>
    </row>
    <row r="90" spans="1:15">
      <c r="A90" s="714" t="s">
        <v>3175</v>
      </c>
      <c r="B90" s="714" t="s">
        <v>30</v>
      </c>
      <c r="C90" s="66" t="s">
        <v>3182</v>
      </c>
      <c r="D90" s="66" t="s">
        <v>1186</v>
      </c>
      <c r="E90" s="67" t="s">
        <v>33</v>
      </c>
      <c r="F90" s="63">
        <v>45381</v>
      </c>
      <c r="G90" s="63">
        <v>45460</v>
      </c>
      <c r="H90" s="63">
        <v>45470</v>
      </c>
      <c r="I90" s="64">
        <v>47467</v>
      </c>
      <c r="J90" s="65"/>
      <c r="K90" s="65"/>
      <c r="L90" s="65"/>
      <c r="M90" s="715"/>
      <c r="O90" s="708"/>
    </row>
    <row r="91" spans="1:15">
      <c r="A91" s="714" t="s">
        <v>3174</v>
      </c>
      <c r="B91" s="714" t="s">
        <v>174</v>
      </c>
      <c r="C91" s="66" t="s">
        <v>3182</v>
      </c>
      <c r="D91" s="66" t="s">
        <v>1186</v>
      </c>
      <c r="E91" s="67" t="s">
        <v>33</v>
      </c>
      <c r="F91" s="63">
        <v>45381</v>
      </c>
      <c r="G91" s="63">
        <v>45460</v>
      </c>
      <c r="H91" s="63">
        <v>45470</v>
      </c>
      <c r="I91" s="64">
        <v>815033.63</v>
      </c>
      <c r="J91" s="65">
        <f>SUM(I90:I91)</f>
        <v>862500.63</v>
      </c>
      <c r="K91" s="65">
        <v>721704</v>
      </c>
      <c r="L91" s="65">
        <f t="shared" si="2"/>
        <v>140796.63</v>
      </c>
      <c r="M91" s="715"/>
      <c r="O91" s="708">
        <f t="shared" si="3"/>
        <v>140796.63</v>
      </c>
    </row>
    <row r="92" spans="1:15">
      <c r="A92" s="714" t="s">
        <v>3205</v>
      </c>
      <c r="B92" s="714" t="s">
        <v>23</v>
      </c>
      <c r="C92" s="66" t="s">
        <v>3210</v>
      </c>
      <c r="D92" s="66" t="s">
        <v>3211</v>
      </c>
      <c r="E92" s="67" t="s">
        <v>33</v>
      </c>
      <c r="F92" s="63">
        <v>45329</v>
      </c>
      <c r="G92" s="63">
        <v>45463</v>
      </c>
      <c r="H92" s="63">
        <v>45470</v>
      </c>
      <c r="I92" s="64">
        <v>32352.54</v>
      </c>
      <c r="J92" s="65"/>
      <c r="K92" s="65"/>
      <c r="L92" s="65"/>
      <c r="M92" s="715"/>
      <c r="O92" s="708"/>
    </row>
    <row r="93" spans="1:15">
      <c r="A93" s="714" t="s">
        <v>3204</v>
      </c>
      <c r="B93" s="714" t="s">
        <v>174</v>
      </c>
      <c r="C93" s="66" t="s">
        <v>3210</v>
      </c>
      <c r="D93" s="66" t="s">
        <v>3211</v>
      </c>
      <c r="E93" s="67" t="s">
        <v>33</v>
      </c>
      <c r="F93" s="63">
        <v>45329</v>
      </c>
      <c r="G93" s="63">
        <v>45463</v>
      </c>
      <c r="H93" s="63">
        <v>45482</v>
      </c>
      <c r="I93" s="64">
        <v>2202000</v>
      </c>
      <c r="J93" s="65">
        <f>SUM(I92:I93)</f>
        <v>2234352.54</v>
      </c>
      <c r="K93" s="65">
        <v>721704</v>
      </c>
      <c r="L93" s="65">
        <f t="shared" si="2"/>
        <v>1512648.54</v>
      </c>
      <c r="M93" s="715"/>
      <c r="O93" s="708">
        <f t="shared" si="3"/>
        <v>1512648.54</v>
      </c>
    </row>
    <row r="94" spans="1:15">
      <c r="A94" s="714" t="s">
        <v>3216</v>
      </c>
      <c r="B94" s="714" t="s">
        <v>174</v>
      </c>
      <c r="C94" s="66" t="s">
        <v>3217</v>
      </c>
      <c r="D94" s="66" t="s">
        <v>3218</v>
      </c>
      <c r="E94" s="67" t="s">
        <v>33</v>
      </c>
      <c r="F94" s="68">
        <v>45465</v>
      </c>
      <c r="G94" s="68">
        <v>45519</v>
      </c>
      <c r="H94" s="68">
        <v>45532</v>
      </c>
      <c r="I94" s="64">
        <v>618900</v>
      </c>
      <c r="J94" s="65"/>
      <c r="K94" s="65"/>
      <c r="L94" s="65"/>
      <c r="M94" s="715"/>
      <c r="O94" s="708"/>
    </row>
    <row r="95" spans="1:15">
      <c r="A95" s="714" t="s">
        <v>3215</v>
      </c>
      <c r="B95" s="714" t="s">
        <v>23</v>
      </c>
      <c r="C95" s="66" t="s">
        <v>3217</v>
      </c>
      <c r="D95" s="66" t="s">
        <v>3218</v>
      </c>
      <c r="E95" s="67" t="s">
        <v>33</v>
      </c>
      <c r="F95" s="68">
        <v>45465</v>
      </c>
      <c r="G95" s="68">
        <v>45519</v>
      </c>
      <c r="H95" s="68">
        <v>45525</v>
      </c>
      <c r="I95" s="64">
        <v>110000</v>
      </c>
      <c r="J95" s="65">
        <f>SUM(I94:I95)</f>
        <v>728900</v>
      </c>
      <c r="K95" s="65">
        <v>721704</v>
      </c>
      <c r="L95" s="65">
        <f t="shared" si="2"/>
        <v>7196</v>
      </c>
      <c r="M95" s="715"/>
      <c r="O95" s="708">
        <f t="shared" si="3"/>
        <v>7196</v>
      </c>
    </row>
    <row r="96" spans="1:15">
      <c r="A96" s="714" t="s">
        <v>3206</v>
      </c>
      <c r="B96" s="714" t="s">
        <v>1900</v>
      </c>
      <c r="C96" s="66" t="s">
        <v>3183</v>
      </c>
      <c r="D96" s="66" t="s">
        <v>606</v>
      </c>
      <c r="E96" s="67" t="s">
        <v>33</v>
      </c>
      <c r="F96" s="63">
        <v>45411</v>
      </c>
      <c r="G96" s="63">
        <v>45435</v>
      </c>
      <c r="H96" s="63">
        <v>45499</v>
      </c>
      <c r="I96" s="64">
        <v>1252000</v>
      </c>
      <c r="J96" s="65"/>
      <c r="K96" s="65"/>
      <c r="L96" s="65"/>
      <c r="M96" s="715"/>
      <c r="O96" s="708"/>
    </row>
    <row r="97" spans="1:15">
      <c r="A97" s="714" t="s">
        <v>3176</v>
      </c>
      <c r="B97" s="714" t="s">
        <v>174</v>
      </c>
      <c r="C97" s="66" t="s">
        <v>3183</v>
      </c>
      <c r="D97" s="66" t="s">
        <v>606</v>
      </c>
      <c r="E97" s="67" t="s">
        <v>33</v>
      </c>
      <c r="F97" s="63">
        <v>45411</v>
      </c>
      <c r="G97" s="63">
        <v>45436</v>
      </c>
      <c r="H97" s="63">
        <v>45454</v>
      </c>
      <c r="I97" s="64">
        <v>1210000</v>
      </c>
      <c r="J97" s="65"/>
      <c r="K97" s="65"/>
      <c r="L97" s="65"/>
      <c r="M97" s="715"/>
      <c r="O97" s="708"/>
    </row>
    <row r="98" spans="1:15">
      <c r="A98" s="714" t="s">
        <v>3177</v>
      </c>
      <c r="B98" s="714" t="s">
        <v>23</v>
      </c>
      <c r="C98" s="66" t="s">
        <v>3183</v>
      </c>
      <c r="D98" s="66" t="s">
        <v>606</v>
      </c>
      <c r="E98" s="67" t="s">
        <v>33</v>
      </c>
      <c r="F98" s="63">
        <v>45411</v>
      </c>
      <c r="G98" s="63">
        <v>45436</v>
      </c>
      <c r="H98" s="63">
        <v>45454</v>
      </c>
      <c r="I98" s="64">
        <v>103500</v>
      </c>
      <c r="J98" s="65">
        <f>SUM(I96:I98)</f>
        <v>2565500</v>
      </c>
      <c r="K98" s="65">
        <v>721704</v>
      </c>
      <c r="L98" s="65">
        <f t="shared" si="2"/>
        <v>1843796</v>
      </c>
      <c r="M98" s="715"/>
      <c r="O98" s="708">
        <f t="shared" si="3"/>
        <v>1843796</v>
      </c>
    </row>
    <row r="99" spans="1:15">
      <c r="A99" s="714" t="s">
        <v>3411</v>
      </c>
      <c r="B99" s="714" t="s">
        <v>174</v>
      </c>
      <c r="C99" s="66" t="s">
        <v>3412</v>
      </c>
      <c r="D99" s="66" t="s">
        <v>3413</v>
      </c>
      <c r="E99" s="67" t="s">
        <v>33</v>
      </c>
      <c r="F99" s="63">
        <v>45593</v>
      </c>
      <c r="G99" s="63">
        <v>45677</v>
      </c>
      <c r="H99" s="63">
        <v>45695</v>
      </c>
      <c r="I99" s="64">
        <v>1371739.58</v>
      </c>
      <c r="J99" s="65">
        <f>+I99</f>
        <v>1371739.58</v>
      </c>
      <c r="K99" s="65">
        <v>721704</v>
      </c>
      <c r="L99" s="65">
        <f t="shared" si="2"/>
        <v>650035.58000000007</v>
      </c>
      <c r="M99" s="715"/>
      <c r="O99" s="708">
        <f t="shared" si="3"/>
        <v>650035.58000000007</v>
      </c>
    </row>
    <row r="100" spans="1:15">
      <c r="A100" s="714" t="s">
        <v>3414</v>
      </c>
      <c r="B100" s="714" t="s">
        <v>174</v>
      </c>
      <c r="C100" s="66" t="s">
        <v>3415</v>
      </c>
      <c r="D100" s="66" t="s">
        <v>3416</v>
      </c>
      <c r="E100" s="67" t="s">
        <v>33</v>
      </c>
      <c r="F100" s="63">
        <v>45521</v>
      </c>
      <c r="G100" s="63">
        <v>45611</v>
      </c>
      <c r="H100" s="63">
        <v>45642</v>
      </c>
      <c r="I100" s="64">
        <v>93661.8</v>
      </c>
      <c r="J100" s="65"/>
      <c r="K100" s="65"/>
      <c r="L100" s="65"/>
      <c r="M100" s="715"/>
      <c r="O100" s="708"/>
    </row>
    <row r="101" spans="1:15">
      <c r="A101" s="714" t="s">
        <v>3417</v>
      </c>
      <c r="B101" s="714" t="s">
        <v>93</v>
      </c>
      <c r="C101" s="66" t="s">
        <v>3415</v>
      </c>
      <c r="D101" s="66" t="s">
        <v>3418</v>
      </c>
      <c r="E101" s="67" t="s">
        <v>33</v>
      </c>
      <c r="F101" s="63">
        <v>45521</v>
      </c>
      <c r="G101" s="63">
        <v>45611</v>
      </c>
      <c r="H101" s="63">
        <v>45642</v>
      </c>
      <c r="I101" s="64">
        <v>210000</v>
      </c>
      <c r="J101" s="65"/>
      <c r="K101" s="65"/>
      <c r="L101" s="65"/>
      <c r="M101" s="715"/>
      <c r="O101" s="708"/>
    </row>
    <row r="102" spans="1:15">
      <c r="A102" s="714" t="s">
        <v>3419</v>
      </c>
      <c r="B102" s="714" t="s">
        <v>93</v>
      </c>
      <c r="C102" s="66" t="s">
        <v>3415</v>
      </c>
      <c r="D102" s="66" t="s">
        <v>3418</v>
      </c>
      <c r="E102" s="67" t="s">
        <v>33</v>
      </c>
      <c r="F102" s="63">
        <v>45521</v>
      </c>
      <c r="G102" s="63">
        <v>45611</v>
      </c>
      <c r="H102" s="63">
        <v>45642</v>
      </c>
      <c r="I102" s="64">
        <v>1510000</v>
      </c>
      <c r="J102" s="65">
        <f>SUM(I100:I102)</f>
        <v>1813661.8</v>
      </c>
      <c r="K102" s="65">
        <v>721704</v>
      </c>
      <c r="L102" s="65">
        <f t="shared" si="2"/>
        <v>1091957.8</v>
      </c>
      <c r="M102" s="715"/>
      <c r="O102" s="708">
        <f t="shared" si="3"/>
        <v>1091957.8</v>
      </c>
    </row>
    <row r="103" spans="1:15">
      <c r="A103" s="714" t="s">
        <v>3420</v>
      </c>
      <c r="B103" s="714" t="s">
        <v>30</v>
      </c>
      <c r="C103" s="66" t="s">
        <v>3421</v>
      </c>
      <c r="D103" s="66" t="s">
        <v>448</v>
      </c>
      <c r="E103" s="67" t="s">
        <v>33</v>
      </c>
      <c r="F103" s="63">
        <v>45495</v>
      </c>
      <c r="G103" s="63">
        <v>45709</v>
      </c>
      <c r="H103" s="63">
        <v>45737</v>
      </c>
      <c r="I103" s="64">
        <v>155000</v>
      </c>
      <c r="J103" s="65"/>
      <c r="K103" s="65"/>
      <c r="L103" s="65"/>
      <c r="M103" s="715"/>
      <c r="O103" s="708"/>
    </row>
    <row r="104" spans="1:15">
      <c r="A104" s="714" t="s">
        <v>3422</v>
      </c>
      <c r="B104" s="714" t="s">
        <v>174</v>
      </c>
      <c r="C104" s="66" t="s">
        <v>3421</v>
      </c>
      <c r="D104" s="66" t="s">
        <v>448</v>
      </c>
      <c r="E104" s="67" t="s">
        <v>33</v>
      </c>
      <c r="F104" s="63">
        <v>45495</v>
      </c>
      <c r="G104" s="63">
        <v>45709</v>
      </c>
      <c r="H104" s="63">
        <v>45737</v>
      </c>
      <c r="I104" s="64">
        <v>955728.84</v>
      </c>
      <c r="J104" s="65">
        <f>SUM(I103:I104)</f>
        <v>1110728.8399999999</v>
      </c>
      <c r="K104" s="65">
        <v>721704</v>
      </c>
      <c r="L104" s="65">
        <f t="shared" si="2"/>
        <v>389024.83999999985</v>
      </c>
      <c r="M104" s="715"/>
      <c r="O104" s="708">
        <f t="shared" si="3"/>
        <v>389024.83999999985</v>
      </c>
    </row>
    <row r="105" spans="1:15">
      <c r="A105" s="714" t="s">
        <v>3423</v>
      </c>
      <c r="B105" s="714" t="s">
        <v>1900</v>
      </c>
      <c r="C105" s="66" t="s">
        <v>3220</v>
      </c>
      <c r="D105" s="66" t="s">
        <v>230</v>
      </c>
      <c r="E105" s="67" t="s">
        <v>26</v>
      </c>
      <c r="F105" s="68">
        <v>45472</v>
      </c>
      <c r="G105" s="68">
        <v>45692</v>
      </c>
      <c r="H105" s="68">
        <v>45715</v>
      </c>
      <c r="I105" s="64">
        <v>211000</v>
      </c>
      <c r="J105" s="65"/>
      <c r="K105" s="65"/>
      <c r="L105" s="65"/>
      <c r="M105" s="715"/>
      <c r="O105" s="708"/>
    </row>
    <row r="106" spans="1:15">
      <c r="A106" s="714" t="s">
        <v>3219</v>
      </c>
      <c r="B106" s="714" t="s">
        <v>1900</v>
      </c>
      <c r="C106" s="66" t="s">
        <v>3220</v>
      </c>
      <c r="D106" s="66" t="s">
        <v>230</v>
      </c>
      <c r="E106" s="67" t="s">
        <v>26</v>
      </c>
      <c r="F106" s="63">
        <v>45472</v>
      </c>
      <c r="G106" s="63">
        <v>45524</v>
      </c>
      <c r="H106" s="63">
        <v>45533</v>
      </c>
      <c r="I106" s="64">
        <v>755000</v>
      </c>
      <c r="J106" s="65"/>
      <c r="K106" s="65"/>
      <c r="L106" s="65"/>
      <c r="M106" s="715"/>
      <c r="O106" s="708"/>
    </row>
    <row r="107" spans="1:15">
      <c r="A107" s="714" t="s">
        <v>3424</v>
      </c>
      <c r="B107" s="714" t="s">
        <v>1917</v>
      </c>
      <c r="C107" s="66" t="s">
        <v>3220</v>
      </c>
      <c r="D107" s="66" t="s">
        <v>230</v>
      </c>
      <c r="E107" s="67" t="s">
        <v>26</v>
      </c>
      <c r="F107" s="63">
        <v>45472</v>
      </c>
      <c r="G107" s="63">
        <v>45639</v>
      </c>
      <c r="H107" s="63">
        <v>45650</v>
      </c>
      <c r="I107" s="64">
        <v>20000</v>
      </c>
      <c r="J107" s="65"/>
      <c r="K107" s="65"/>
      <c r="L107" s="65"/>
      <c r="M107" s="715"/>
      <c r="O107" s="708"/>
    </row>
    <row r="108" spans="1:15">
      <c r="A108" s="714" t="s">
        <v>3425</v>
      </c>
      <c r="B108" s="714" t="s">
        <v>174</v>
      </c>
      <c r="C108" s="66" t="s">
        <v>3220</v>
      </c>
      <c r="D108" s="66" t="s">
        <v>230</v>
      </c>
      <c r="E108" s="67" t="s">
        <v>26</v>
      </c>
      <c r="F108" s="63">
        <v>45472</v>
      </c>
      <c r="G108" s="63">
        <v>45639</v>
      </c>
      <c r="H108" s="63">
        <v>45650</v>
      </c>
      <c r="I108" s="64">
        <v>1307478.5</v>
      </c>
      <c r="J108" s="65"/>
      <c r="K108" s="65"/>
      <c r="L108" s="65"/>
      <c r="M108" s="715"/>
      <c r="O108" s="708"/>
    </row>
    <row r="109" spans="1:15">
      <c r="A109" s="714" t="s">
        <v>3426</v>
      </c>
      <c r="B109" s="714" t="s">
        <v>23</v>
      </c>
      <c r="C109" s="66" t="s">
        <v>3220</v>
      </c>
      <c r="D109" s="66" t="s">
        <v>230</v>
      </c>
      <c r="E109" s="67" t="s">
        <v>26</v>
      </c>
      <c r="F109" s="68">
        <v>45472</v>
      </c>
      <c r="G109" s="68">
        <v>45639</v>
      </c>
      <c r="H109" s="68">
        <v>45650</v>
      </c>
      <c r="I109" s="64">
        <v>60000</v>
      </c>
      <c r="J109" s="65">
        <f>SUM(I105:I109)</f>
        <v>2353478.5</v>
      </c>
      <c r="K109" s="65">
        <v>721704</v>
      </c>
      <c r="L109" s="65">
        <f t="shared" si="2"/>
        <v>1631774.5</v>
      </c>
      <c r="M109" s="715"/>
      <c r="O109" s="708">
        <f t="shared" si="3"/>
        <v>1631774.5</v>
      </c>
    </row>
    <row r="110" spans="1:15">
      <c r="A110" s="714" t="s">
        <v>3111</v>
      </c>
      <c r="B110" s="714" t="s">
        <v>23</v>
      </c>
      <c r="C110" s="66" t="s">
        <v>3109</v>
      </c>
      <c r="D110" s="66" t="s">
        <v>1457</v>
      </c>
      <c r="E110" s="67" t="s">
        <v>33</v>
      </c>
      <c r="F110" s="68">
        <v>45336</v>
      </c>
      <c r="G110" s="68">
        <v>45429</v>
      </c>
      <c r="H110" s="68">
        <v>45440</v>
      </c>
      <c r="I110" s="64">
        <v>310000</v>
      </c>
      <c r="J110" s="65"/>
      <c r="K110" s="65"/>
      <c r="L110" s="65"/>
      <c r="M110" s="715"/>
      <c r="O110" s="708"/>
    </row>
    <row r="111" spans="1:15">
      <c r="A111" s="714" t="s">
        <v>3108</v>
      </c>
      <c r="B111" s="714" t="s">
        <v>174</v>
      </c>
      <c r="C111" s="66" t="s">
        <v>3109</v>
      </c>
      <c r="D111" s="66" t="s">
        <v>1457</v>
      </c>
      <c r="E111" s="67" t="s">
        <v>33</v>
      </c>
      <c r="F111" s="68">
        <v>45336</v>
      </c>
      <c r="G111" s="68">
        <v>45421</v>
      </c>
      <c r="H111" s="68">
        <v>45428</v>
      </c>
      <c r="I111" s="64">
        <v>233443.93</v>
      </c>
      <c r="J111" s="65"/>
      <c r="K111" s="65"/>
      <c r="L111" s="65"/>
      <c r="M111" s="715"/>
      <c r="O111" s="708"/>
    </row>
    <row r="112" spans="1:15">
      <c r="A112" s="714" t="s">
        <v>3110</v>
      </c>
      <c r="B112" s="714" t="s">
        <v>174</v>
      </c>
      <c r="C112" s="66" t="s">
        <v>3109</v>
      </c>
      <c r="D112" s="66" t="s">
        <v>1457</v>
      </c>
      <c r="E112" s="67" t="s">
        <v>33</v>
      </c>
      <c r="F112" s="68">
        <v>45336</v>
      </c>
      <c r="G112" s="68">
        <v>45432</v>
      </c>
      <c r="H112" s="68">
        <v>45440</v>
      </c>
      <c r="I112" s="64">
        <v>919256.83</v>
      </c>
      <c r="J112" s="65">
        <f>SUM(I110:I112)</f>
        <v>1462700.7599999998</v>
      </c>
      <c r="K112" s="65">
        <v>721704</v>
      </c>
      <c r="L112" s="65">
        <f t="shared" si="2"/>
        <v>740996.75999999978</v>
      </c>
      <c r="M112" s="715"/>
      <c r="O112" s="708">
        <f t="shared" si="3"/>
        <v>740996.75999999978</v>
      </c>
    </row>
    <row r="113" spans="1:15">
      <c r="A113" s="714" t="s">
        <v>3427</v>
      </c>
      <c r="B113" s="714" t="s">
        <v>174</v>
      </c>
      <c r="C113" s="66" t="s">
        <v>3428</v>
      </c>
      <c r="D113" s="66" t="s">
        <v>572</v>
      </c>
      <c r="E113" s="67" t="s">
        <v>33</v>
      </c>
      <c r="F113" s="68">
        <v>45591</v>
      </c>
      <c r="G113" s="68">
        <v>45664</v>
      </c>
      <c r="H113" s="68">
        <v>45673</v>
      </c>
      <c r="I113" s="64">
        <v>100000</v>
      </c>
      <c r="J113" s="65"/>
      <c r="K113" s="65"/>
      <c r="L113" s="65"/>
      <c r="M113" s="715"/>
      <c r="O113" s="708"/>
    </row>
    <row r="114" spans="1:15">
      <c r="A114" s="714" t="s">
        <v>3429</v>
      </c>
      <c r="B114" s="714" t="s">
        <v>30</v>
      </c>
      <c r="C114" s="66" t="s">
        <v>3428</v>
      </c>
      <c r="D114" s="66" t="s">
        <v>572</v>
      </c>
      <c r="E114" s="67" t="s">
        <v>33</v>
      </c>
      <c r="F114" s="68">
        <v>45591</v>
      </c>
      <c r="G114" s="68">
        <v>45618</v>
      </c>
      <c r="H114" s="68">
        <v>45624</v>
      </c>
      <c r="I114" s="64">
        <v>70000</v>
      </c>
      <c r="J114" s="65"/>
      <c r="K114" s="65"/>
      <c r="L114" s="65"/>
      <c r="M114" s="715"/>
      <c r="O114" s="708"/>
    </row>
    <row r="115" spans="1:15">
      <c r="A115" s="714" t="s">
        <v>3430</v>
      </c>
      <c r="B115" s="714" t="s">
        <v>23</v>
      </c>
      <c r="C115" s="66" t="s">
        <v>3428</v>
      </c>
      <c r="D115" s="66" t="s">
        <v>572</v>
      </c>
      <c r="E115" s="67" t="s">
        <v>33</v>
      </c>
      <c r="F115" s="68">
        <v>45591</v>
      </c>
      <c r="G115" s="68">
        <v>45602</v>
      </c>
      <c r="H115" s="68">
        <v>45639</v>
      </c>
      <c r="I115" s="64">
        <v>310000</v>
      </c>
      <c r="J115" s="65"/>
      <c r="K115" s="65"/>
      <c r="L115" s="65"/>
      <c r="M115" s="715"/>
      <c r="O115" s="708"/>
    </row>
    <row r="116" spans="1:15">
      <c r="A116" s="714" t="s">
        <v>3431</v>
      </c>
      <c r="B116" s="714" t="s">
        <v>174</v>
      </c>
      <c r="C116" s="66" t="s">
        <v>3428</v>
      </c>
      <c r="D116" s="66" t="s">
        <v>572</v>
      </c>
      <c r="E116" s="67" t="s">
        <v>33</v>
      </c>
      <c r="F116" s="68">
        <v>45591</v>
      </c>
      <c r="G116" s="68">
        <v>45602</v>
      </c>
      <c r="H116" s="68">
        <v>45652</v>
      </c>
      <c r="I116" s="64">
        <v>5663965.8899999997</v>
      </c>
      <c r="J116" s="65"/>
      <c r="K116" s="65"/>
      <c r="L116" s="65"/>
      <c r="M116" s="715"/>
      <c r="O116" s="708"/>
    </row>
    <row r="117" spans="1:15">
      <c r="A117" s="714" t="s">
        <v>3432</v>
      </c>
      <c r="B117" s="714" t="s">
        <v>174</v>
      </c>
      <c r="C117" s="66" t="s">
        <v>3428</v>
      </c>
      <c r="D117" s="66" t="s">
        <v>572</v>
      </c>
      <c r="E117" s="67" t="s">
        <v>33</v>
      </c>
      <c r="F117" s="68">
        <v>45591</v>
      </c>
      <c r="G117" s="68">
        <v>45618</v>
      </c>
      <c r="H117" s="68">
        <v>45624</v>
      </c>
      <c r="I117" s="64">
        <v>251618.18</v>
      </c>
      <c r="J117" s="65"/>
      <c r="K117" s="65"/>
      <c r="L117" s="65"/>
      <c r="M117" s="715"/>
      <c r="O117" s="708"/>
    </row>
    <row r="118" spans="1:15">
      <c r="A118" s="714" t="s">
        <v>3433</v>
      </c>
      <c r="B118" s="714" t="s">
        <v>1917</v>
      </c>
      <c r="C118" s="66" t="s">
        <v>3428</v>
      </c>
      <c r="D118" s="66" t="s">
        <v>572</v>
      </c>
      <c r="E118" s="67" t="s">
        <v>33</v>
      </c>
      <c r="F118" s="68">
        <v>45591</v>
      </c>
      <c r="G118" s="68">
        <v>45629</v>
      </c>
      <c r="H118" s="68">
        <v>45638</v>
      </c>
      <c r="I118" s="64">
        <v>20000</v>
      </c>
      <c r="J118" s="65"/>
      <c r="K118" s="65"/>
      <c r="L118" s="65"/>
      <c r="M118" s="715"/>
      <c r="O118" s="708"/>
    </row>
    <row r="119" spans="1:15">
      <c r="A119" s="714" t="s">
        <v>3434</v>
      </c>
      <c r="B119" s="714" t="s">
        <v>1917</v>
      </c>
      <c r="C119" s="66" t="s">
        <v>3428</v>
      </c>
      <c r="D119" s="66" t="s">
        <v>572</v>
      </c>
      <c r="E119" s="67" t="s">
        <v>33</v>
      </c>
      <c r="F119" s="68">
        <v>45591</v>
      </c>
      <c r="G119" s="68">
        <v>45629</v>
      </c>
      <c r="H119" s="68">
        <v>45638</v>
      </c>
      <c r="I119" s="64">
        <v>150000</v>
      </c>
      <c r="J119" s="65"/>
      <c r="K119" s="65"/>
      <c r="L119" s="65"/>
      <c r="M119" s="715"/>
      <c r="O119" s="708"/>
    </row>
    <row r="120" spans="1:15">
      <c r="A120" s="714" t="s">
        <v>3435</v>
      </c>
      <c r="B120" s="714" t="s">
        <v>30</v>
      </c>
      <c r="C120" s="66" t="s">
        <v>3428</v>
      </c>
      <c r="D120" s="66" t="s">
        <v>572</v>
      </c>
      <c r="E120" s="67" t="s">
        <v>33</v>
      </c>
      <c r="F120" s="68">
        <v>45591</v>
      </c>
      <c r="G120" s="68">
        <v>45629</v>
      </c>
      <c r="H120" s="68">
        <v>45638</v>
      </c>
      <c r="I120" s="64">
        <v>55000</v>
      </c>
      <c r="J120" s="65"/>
      <c r="K120" s="65"/>
      <c r="L120" s="65"/>
      <c r="M120" s="715"/>
      <c r="O120" s="708"/>
    </row>
    <row r="121" spans="1:15">
      <c r="A121" s="714" t="s">
        <v>3436</v>
      </c>
      <c r="B121" s="714" t="s">
        <v>23</v>
      </c>
      <c r="C121" s="66" t="s">
        <v>3428</v>
      </c>
      <c r="D121" s="66" t="s">
        <v>572</v>
      </c>
      <c r="E121" s="67" t="s">
        <v>33</v>
      </c>
      <c r="F121" s="68">
        <v>45591</v>
      </c>
      <c r="G121" s="68">
        <v>45629</v>
      </c>
      <c r="H121" s="68">
        <v>45638</v>
      </c>
      <c r="I121" s="64">
        <v>110000</v>
      </c>
      <c r="J121" s="65"/>
      <c r="K121" s="65"/>
      <c r="L121" s="65"/>
      <c r="M121" s="715"/>
      <c r="O121" s="708"/>
    </row>
    <row r="122" spans="1:15">
      <c r="A122" s="714" t="s">
        <v>3437</v>
      </c>
      <c r="B122" s="714" t="s">
        <v>174</v>
      </c>
      <c r="C122" s="66" t="s">
        <v>3428</v>
      </c>
      <c r="D122" s="66" t="s">
        <v>572</v>
      </c>
      <c r="E122" s="67" t="s">
        <v>33</v>
      </c>
      <c r="F122" s="68">
        <v>45591</v>
      </c>
      <c r="G122" s="68">
        <v>45632</v>
      </c>
      <c r="H122" s="68">
        <v>45638</v>
      </c>
      <c r="I122" s="64">
        <v>106079.15</v>
      </c>
      <c r="J122" s="65"/>
      <c r="K122" s="65"/>
      <c r="L122" s="65"/>
      <c r="M122" s="715"/>
      <c r="O122" s="708"/>
    </row>
    <row r="123" spans="1:15">
      <c r="A123" s="714" t="s">
        <v>3438</v>
      </c>
      <c r="B123" s="714" t="s">
        <v>174</v>
      </c>
      <c r="C123" s="66" t="s">
        <v>3428</v>
      </c>
      <c r="D123" s="66" t="s">
        <v>572</v>
      </c>
      <c r="E123" s="67" t="s">
        <v>33</v>
      </c>
      <c r="F123" s="68">
        <v>45591</v>
      </c>
      <c r="G123" s="68">
        <v>45629</v>
      </c>
      <c r="H123" s="68">
        <v>45638</v>
      </c>
      <c r="I123" s="64">
        <v>171100</v>
      </c>
      <c r="J123" s="65"/>
      <c r="K123" s="65"/>
      <c r="L123" s="65"/>
      <c r="M123" s="715"/>
      <c r="O123" s="708"/>
    </row>
    <row r="124" spans="1:15">
      <c r="A124" s="714" t="s">
        <v>3427</v>
      </c>
      <c r="B124" s="714" t="s">
        <v>23</v>
      </c>
      <c r="C124" s="66" t="s">
        <v>3428</v>
      </c>
      <c r="D124" s="66" t="s">
        <v>572</v>
      </c>
      <c r="E124" s="67" t="s">
        <v>33</v>
      </c>
      <c r="F124" s="68">
        <v>45591</v>
      </c>
      <c r="G124" s="68">
        <v>45664</v>
      </c>
      <c r="H124" s="68">
        <v>45673</v>
      </c>
      <c r="I124" s="64">
        <v>60000</v>
      </c>
      <c r="J124" s="65">
        <f>SUM(I113:I124)</f>
        <v>7067763.2199999997</v>
      </c>
      <c r="K124" s="65">
        <v>721704</v>
      </c>
      <c r="L124" s="65">
        <f t="shared" ref="L124" si="4">+J124-K124</f>
        <v>6346059.2199999997</v>
      </c>
      <c r="M124" s="715"/>
      <c r="O124" s="708">
        <f t="shared" si="3"/>
        <v>6346059.2199999997</v>
      </c>
    </row>
    <row r="125" spans="1:15">
      <c r="A125" s="714" t="s">
        <v>3439</v>
      </c>
      <c r="B125" s="714" t="s">
        <v>174</v>
      </c>
      <c r="C125" s="66" t="s">
        <v>3440</v>
      </c>
      <c r="D125" s="66" t="s">
        <v>26</v>
      </c>
      <c r="E125" s="67" t="s">
        <v>33</v>
      </c>
      <c r="F125" s="68">
        <v>45486</v>
      </c>
      <c r="G125" s="68">
        <v>45566</v>
      </c>
      <c r="H125" s="68">
        <v>45582</v>
      </c>
      <c r="I125" s="64">
        <v>49532.75</v>
      </c>
      <c r="J125" s="65"/>
      <c r="K125" s="65"/>
      <c r="L125" s="65"/>
      <c r="M125" s="715"/>
      <c r="O125" s="708"/>
    </row>
    <row r="126" spans="1:15">
      <c r="A126" s="714" t="s">
        <v>3441</v>
      </c>
      <c r="B126" s="714" t="s">
        <v>958</v>
      </c>
      <c r="C126" s="66" t="s">
        <v>3440</v>
      </c>
      <c r="D126" s="66" t="s">
        <v>26</v>
      </c>
      <c r="E126" s="67" t="s">
        <v>33</v>
      </c>
      <c r="F126" s="68">
        <v>45486</v>
      </c>
      <c r="G126" s="68">
        <v>45566</v>
      </c>
      <c r="H126" s="68">
        <v>45582</v>
      </c>
      <c r="I126" s="64">
        <v>20000</v>
      </c>
      <c r="J126" s="719"/>
      <c r="K126" s="65"/>
      <c r="L126" s="65"/>
      <c r="M126" s="715"/>
      <c r="O126" s="708"/>
    </row>
    <row r="127" spans="1:15">
      <c r="A127" s="714" t="s">
        <v>3442</v>
      </c>
      <c r="B127" s="714" t="s">
        <v>93</v>
      </c>
      <c r="C127" s="66" t="s">
        <v>3440</v>
      </c>
      <c r="D127" s="66" t="s">
        <v>26</v>
      </c>
      <c r="E127" s="67" t="s">
        <v>33</v>
      </c>
      <c r="F127" s="68">
        <v>45486</v>
      </c>
      <c r="G127" s="68">
        <v>45566</v>
      </c>
      <c r="H127" s="68">
        <v>45582</v>
      </c>
      <c r="I127" s="64">
        <v>1020000</v>
      </c>
      <c r="J127" s="65"/>
      <c r="K127" s="65"/>
      <c r="L127" s="65"/>
      <c r="M127" s="715"/>
      <c r="O127" s="708"/>
    </row>
    <row r="128" spans="1:15">
      <c r="A128" s="714" t="s">
        <v>3443</v>
      </c>
      <c r="B128" s="714" t="s">
        <v>23</v>
      </c>
      <c r="C128" s="66" t="s">
        <v>3440</v>
      </c>
      <c r="D128" s="66" t="s">
        <v>2780</v>
      </c>
      <c r="E128" s="67" t="s">
        <v>33</v>
      </c>
      <c r="F128" s="68">
        <v>45486</v>
      </c>
      <c r="G128" s="68">
        <v>45566</v>
      </c>
      <c r="H128" s="68">
        <v>45582</v>
      </c>
      <c r="I128" s="64">
        <v>109839</v>
      </c>
      <c r="J128" s="65">
        <f>SUM(I125:I128)</f>
        <v>1199371.75</v>
      </c>
      <c r="K128" s="65">
        <v>721704</v>
      </c>
      <c r="L128" s="65">
        <f t="shared" si="2"/>
        <v>477667.75</v>
      </c>
      <c r="M128" s="715"/>
      <c r="O128" s="708">
        <f t="shared" si="3"/>
        <v>477667.75</v>
      </c>
    </row>
    <row r="129" spans="1:15">
      <c r="A129" s="714" t="s">
        <v>3444</v>
      </c>
      <c r="B129" s="714" t="s">
        <v>174</v>
      </c>
      <c r="C129" s="66" t="s">
        <v>3445</v>
      </c>
      <c r="D129" s="66" t="s">
        <v>606</v>
      </c>
      <c r="E129" s="67" t="s">
        <v>33</v>
      </c>
      <c r="F129" s="68">
        <v>45632</v>
      </c>
      <c r="G129" s="68">
        <v>45702</v>
      </c>
      <c r="H129" s="68">
        <v>45771</v>
      </c>
      <c r="I129" s="64">
        <v>1890589.63</v>
      </c>
      <c r="J129" s="65"/>
      <c r="K129" s="65"/>
      <c r="L129" s="65"/>
      <c r="M129" s="715"/>
      <c r="O129" s="708"/>
    </row>
    <row r="130" spans="1:15">
      <c r="A130" s="714" t="s">
        <v>3446</v>
      </c>
      <c r="B130" s="714" t="s">
        <v>23</v>
      </c>
      <c r="C130" s="66" t="s">
        <v>3445</v>
      </c>
      <c r="D130" s="66" t="s">
        <v>606</v>
      </c>
      <c r="E130" s="67" t="s">
        <v>33</v>
      </c>
      <c r="F130" s="68">
        <v>45632</v>
      </c>
      <c r="G130" s="68">
        <v>45702</v>
      </c>
      <c r="H130" s="68">
        <v>45771</v>
      </c>
      <c r="I130" s="64">
        <v>110000</v>
      </c>
      <c r="J130" s="65">
        <f>SUM(I129:I130)</f>
        <v>2000589.63</v>
      </c>
      <c r="K130" s="65">
        <v>721704</v>
      </c>
      <c r="L130" s="65">
        <f t="shared" si="2"/>
        <v>1278885.6299999999</v>
      </c>
      <c r="M130" s="715"/>
      <c r="O130" s="708">
        <f t="shared" si="3"/>
        <v>1278885.6299999999</v>
      </c>
    </row>
    <row r="131" spans="1:15">
      <c r="A131" s="714" t="s">
        <v>3447</v>
      </c>
      <c r="B131" s="714" t="s">
        <v>174</v>
      </c>
      <c r="C131" s="66" t="s">
        <v>3448</v>
      </c>
      <c r="D131" s="66" t="s">
        <v>778</v>
      </c>
      <c r="E131" s="67" t="s">
        <v>33</v>
      </c>
      <c r="F131" s="68">
        <v>45616</v>
      </c>
      <c r="G131" s="68">
        <v>45643</v>
      </c>
      <c r="H131" s="68">
        <v>45652</v>
      </c>
      <c r="I131" s="64">
        <v>90422.93</v>
      </c>
      <c r="J131" s="65"/>
      <c r="K131" s="65"/>
      <c r="L131" s="65"/>
      <c r="M131" s="715"/>
      <c r="O131" s="708"/>
    </row>
    <row r="132" spans="1:15">
      <c r="A132" s="714" t="s">
        <v>3449</v>
      </c>
      <c r="B132" s="714" t="s">
        <v>174</v>
      </c>
      <c r="C132" s="66" t="s">
        <v>3448</v>
      </c>
      <c r="D132" s="66" t="s">
        <v>778</v>
      </c>
      <c r="E132" s="67" t="s">
        <v>33</v>
      </c>
      <c r="F132" s="68">
        <v>45616</v>
      </c>
      <c r="G132" s="68">
        <v>45632</v>
      </c>
      <c r="H132" s="68">
        <v>45673</v>
      </c>
      <c r="I132" s="64">
        <v>2676184.58</v>
      </c>
      <c r="J132" s="65"/>
      <c r="K132" s="65"/>
      <c r="L132" s="65"/>
      <c r="M132" s="715"/>
      <c r="O132" s="708"/>
    </row>
    <row r="133" spans="1:15">
      <c r="A133" s="714" t="s">
        <v>3450</v>
      </c>
      <c r="B133" s="714" t="s">
        <v>30</v>
      </c>
      <c r="C133" s="66" t="s">
        <v>3448</v>
      </c>
      <c r="D133" s="66" t="s">
        <v>778</v>
      </c>
      <c r="E133" s="67" t="s">
        <v>33</v>
      </c>
      <c r="F133" s="68">
        <v>45616</v>
      </c>
      <c r="G133" s="68">
        <v>45632</v>
      </c>
      <c r="H133" s="68">
        <v>45639</v>
      </c>
      <c r="I133" s="64">
        <v>55000</v>
      </c>
      <c r="J133" s="65">
        <f>SUM(I131:I133)</f>
        <v>2821607.5100000002</v>
      </c>
      <c r="K133" s="65">
        <v>721704</v>
      </c>
      <c r="L133" s="65">
        <f t="shared" si="2"/>
        <v>2099903.5100000002</v>
      </c>
      <c r="M133" s="715"/>
      <c r="O133" s="708">
        <f t="shared" si="3"/>
        <v>2099903.5100000002</v>
      </c>
    </row>
    <row r="134" spans="1:15">
      <c r="A134" s="714" t="s">
        <v>3451</v>
      </c>
      <c r="B134" s="714" t="s">
        <v>174</v>
      </c>
      <c r="C134" s="66" t="s">
        <v>3452</v>
      </c>
      <c r="D134" s="66" t="s">
        <v>3453</v>
      </c>
      <c r="E134" s="66" t="s">
        <v>33</v>
      </c>
      <c r="F134" s="68">
        <v>45464</v>
      </c>
      <c r="G134" s="68">
        <v>45604</v>
      </c>
      <c r="H134" s="68">
        <v>45617</v>
      </c>
      <c r="I134" s="64">
        <v>43355.9</v>
      </c>
      <c r="J134" s="65"/>
      <c r="K134" s="65"/>
      <c r="L134" s="65"/>
      <c r="M134" s="715"/>
      <c r="O134" s="708"/>
    </row>
    <row r="135" spans="1:15">
      <c r="A135" s="714" t="s">
        <v>3454</v>
      </c>
      <c r="B135" s="714" t="s">
        <v>174</v>
      </c>
      <c r="C135" s="66" t="s">
        <v>3452</v>
      </c>
      <c r="D135" s="66" t="s">
        <v>3455</v>
      </c>
      <c r="E135" s="67" t="s">
        <v>33</v>
      </c>
      <c r="F135" s="68">
        <v>45464</v>
      </c>
      <c r="G135" s="68">
        <v>45583</v>
      </c>
      <c r="H135" s="68">
        <v>45595</v>
      </c>
      <c r="I135" s="64">
        <v>861535.22</v>
      </c>
      <c r="J135" s="65"/>
      <c r="K135" s="65"/>
      <c r="L135" s="65"/>
      <c r="M135" s="715"/>
      <c r="O135" s="708"/>
    </row>
    <row r="136" spans="1:15">
      <c r="A136" s="714" t="s">
        <v>3456</v>
      </c>
      <c r="B136" s="714" t="s">
        <v>30</v>
      </c>
      <c r="C136" s="66" t="s">
        <v>3452</v>
      </c>
      <c r="D136" s="66" t="s">
        <v>3453</v>
      </c>
      <c r="E136" s="66" t="s">
        <v>33</v>
      </c>
      <c r="F136" s="68">
        <v>45464</v>
      </c>
      <c r="G136" s="68">
        <v>45604</v>
      </c>
      <c r="H136" s="68">
        <v>45617</v>
      </c>
      <c r="I136" s="64">
        <v>141071.89000000001</v>
      </c>
      <c r="J136" s="65">
        <f>SUM(I134:I136)</f>
        <v>1045963.01</v>
      </c>
      <c r="K136" s="65">
        <v>721704</v>
      </c>
      <c r="L136" s="65">
        <f t="shared" si="2"/>
        <v>324259.01</v>
      </c>
      <c r="M136" s="715"/>
      <c r="O136" s="708">
        <f t="shared" si="3"/>
        <v>324259.01</v>
      </c>
    </row>
    <row r="137" spans="1:15">
      <c r="A137" s="714" t="s">
        <v>3457</v>
      </c>
      <c r="B137" s="714" t="s">
        <v>174</v>
      </c>
      <c r="C137" s="66" t="s">
        <v>3458</v>
      </c>
      <c r="D137" s="66" t="s">
        <v>230</v>
      </c>
      <c r="E137" s="66" t="s">
        <v>26</v>
      </c>
      <c r="F137" s="68">
        <v>45600</v>
      </c>
      <c r="G137" s="68">
        <v>45691</v>
      </c>
      <c r="H137" s="68">
        <v>45709</v>
      </c>
      <c r="I137" s="64">
        <v>220700</v>
      </c>
      <c r="J137" s="65"/>
      <c r="K137" s="65"/>
      <c r="L137" s="65"/>
      <c r="M137" s="715"/>
      <c r="O137" s="708"/>
    </row>
    <row r="138" spans="1:15">
      <c r="A138" s="714" t="s">
        <v>3459</v>
      </c>
      <c r="B138" s="714" t="s">
        <v>93</v>
      </c>
      <c r="C138" s="66" t="s">
        <v>3458</v>
      </c>
      <c r="D138" s="66" t="s">
        <v>230</v>
      </c>
      <c r="E138" s="66" t="s">
        <v>26</v>
      </c>
      <c r="F138" s="68">
        <v>45600</v>
      </c>
      <c r="G138" s="68">
        <v>45691</v>
      </c>
      <c r="H138" s="68">
        <v>45709</v>
      </c>
      <c r="I138" s="64">
        <v>535000</v>
      </c>
      <c r="J138" s="65"/>
      <c r="K138" s="65"/>
      <c r="L138" s="65"/>
      <c r="M138" s="715"/>
      <c r="O138" s="708"/>
    </row>
    <row r="139" spans="1:15">
      <c r="A139" s="714" t="s">
        <v>3460</v>
      </c>
      <c r="B139" s="714" t="s">
        <v>23</v>
      </c>
      <c r="C139" s="66" t="s">
        <v>3458</v>
      </c>
      <c r="D139" s="66" t="s">
        <v>230</v>
      </c>
      <c r="E139" s="66" t="s">
        <v>26</v>
      </c>
      <c r="F139" s="68">
        <v>45600</v>
      </c>
      <c r="G139" s="68">
        <v>45691</v>
      </c>
      <c r="H139" s="68">
        <v>45709</v>
      </c>
      <c r="I139" s="64">
        <v>63188.08</v>
      </c>
      <c r="J139" s="65">
        <f>SUM(I137:I139)</f>
        <v>818888.08</v>
      </c>
      <c r="K139" s="65">
        <v>721704</v>
      </c>
      <c r="L139" s="65">
        <f t="shared" si="2"/>
        <v>97184.079999999958</v>
      </c>
      <c r="M139" s="715"/>
      <c r="O139" s="708">
        <f t="shared" ref="O139" si="5">IF($J139&gt;P$8,$J139-P$8,0)</f>
        <v>97184.079999999958</v>
      </c>
    </row>
    <row r="140" spans="1:15" ht="15" thickBot="1">
      <c r="A140" s="597"/>
      <c r="B140" s="272"/>
      <c r="C140" s="273"/>
      <c r="D140" s="273"/>
      <c r="E140" s="272"/>
      <c r="F140" s="598"/>
      <c r="G140" s="598"/>
      <c r="H140" s="598"/>
      <c r="I140" s="599"/>
      <c r="J140" s="599"/>
      <c r="K140" s="599"/>
      <c r="L140" s="599"/>
      <c r="M140" s="534"/>
      <c r="O140" s="515"/>
    </row>
    <row r="141" spans="1:15" ht="15" thickBot="1">
      <c r="H141" s="508" t="s">
        <v>1941</v>
      </c>
      <c r="I141" s="600">
        <f>SUM(I10:I140)</f>
        <v>68639830.039999992</v>
      </c>
      <c r="J141" s="600">
        <f t="shared" ref="J141:L141" si="6">SUM(J10:J140)</f>
        <v>68639830.039999977</v>
      </c>
      <c r="K141" s="600">
        <f t="shared" si="6"/>
        <v>33198384</v>
      </c>
      <c r="L141" s="600">
        <f t="shared" si="6"/>
        <v>35441446.039999992</v>
      </c>
      <c r="M141" s="561"/>
      <c r="O141" s="524">
        <f>SUM(O10:O139)</f>
        <v>35441446.039999992</v>
      </c>
    </row>
    <row r="142" spans="1:15">
      <c r="I142" s="83"/>
      <c r="J142" s="83"/>
      <c r="K142" s="83"/>
      <c r="L142" s="83"/>
    </row>
    <row r="143" spans="1:15">
      <c r="O143" s="266"/>
    </row>
    <row r="144" spans="1:15" ht="21.6" customHeight="1">
      <c r="J144" s="399" t="s">
        <v>2535</v>
      </c>
      <c r="K144" s="589">
        <v>20247622.737499997</v>
      </c>
      <c r="L144" s="601">
        <f>L141/K144</f>
        <v>1.7504003556111298</v>
      </c>
    </row>
    <row r="145" spans="7:15" ht="21.6" customHeight="1">
      <c r="G145" s="83"/>
      <c r="J145" s="399" t="s">
        <v>3160</v>
      </c>
      <c r="K145" s="566">
        <v>9750000</v>
      </c>
      <c r="L145" s="399"/>
      <c r="M145" s="86"/>
      <c r="O145" s="255">
        <f>+L141-'[4]Cálculo con Factor de Ajuste'!$B$15</f>
        <v>21315763.669999987</v>
      </c>
    </row>
    <row r="146" spans="7:15" ht="21.6" customHeight="1">
      <c r="J146" s="399" t="s">
        <v>2929</v>
      </c>
      <c r="K146" s="602">
        <f>+K144-K145</f>
        <v>10497622.737499997</v>
      </c>
      <c r="L146" s="603">
        <f>L141/K145</f>
        <v>3.6350201066666656</v>
      </c>
    </row>
    <row r="147" spans="7:15" ht="21.6" customHeight="1"/>
    <row r="148" spans="7:15" ht="21.6" customHeight="1">
      <c r="J148" s="399" t="s">
        <v>2557</v>
      </c>
      <c r="K148" s="82">
        <v>85000000</v>
      </c>
      <c r="L148" s="86">
        <f>L141/K148</f>
        <v>0.41695818870588225</v>
      </c>
    </row>
    <row r="149" spans="7:15" ht="21.6" customHeight="1"/>
    <row r="150" spans="7:15" ht="21.6" customHeight="1"/>
    <row r="151" spans="7:15" ht="21.6" customHeight="1"/>
    <row r="152" spans="7:15" ht="21.6" customHeight="1"/>
  </sheetData>
  <autoFilter ref="A8:M58" xr:uid="{00000000-0009-0000-0000-00000F000000}"/>
  <sortState xmlns:xlrd2="http://schemas.microsoft.com/office/spreadsheetml/2017/richdata2" ref="A10:M65">
    <sortCondition ref="C10:C65"/>
  </sortState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disablePrompts="1" count="1">
    <dataValidation type="list" allowBlank="1" showInputMessage="1" showErrorMessage="1" sqref="B33:B34" xr:uid="{B588F422-EA0C-4FB7-9365-9DCBF4929BCB}">
      <formula1>#REF!</formula1>
    </dataValidation>
  </dataValidations>
  <pageMargins left="0.7" right="0.7" top="0.75" bottom="0.75" header="0.3" footer="0.3"/>
  <pageSetup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D311-C95C-4C28-9EDC-77E0C59B2C25}">
  <dimension ref="A1:AE100"/>
  <sheetViews>
    <sheetView showGridLines="0" topLeftCell="E73" zoomScaleNormal="100" workbookViewId="0">
      <selection activeCell="J92" sqref="J92"/>
    </sheetView>
  </sheetViews>
  <sheetFormatPr baseColWidth="10" defaultRowHeight="14.4"/>
  <cols>
    <col min="1" max="3" width="31.5546875" style="72" customWidth="1"/>
    <col min="4" max="4" width="43.5546875" style="72" customWidth="1"/>
    <col min="5" max="5" width="20.77734375" style="72" customWidth="1"/>
    <col min="6" max="6" width="20.44140625" style="72" customWidth="1"/>
    <col min="7" max="7" width="17.109375" style="72" customWidth="1"/>
    <col min="8" max="8" width="17" style="72" customWidth="1"/>
    <col min="9" max="9" width="24" style="72" bestFit="1" customWidth="1"/>
    <col min="10" max="10" width="22.44140625" style="72" bestFit="1" customWidth="1"/>
    <col min="11" max="11" width="15.21875" style="72" bestFit="1" customWidth="1"/>
    <col min="12" max="12" width="15.5546875" style="72" bestFit="1" customWidth="1"/>
    <col min="13" max="13" width="17.21875" style="72" bestFit="1" customWidth="1"/>
    <col min="14" max="14" width="11.5546875" style="72"/>
    <col min="15" max="15" width="20.109375" style="72" bestFit="1" customWidth="1"/>
    <col min="16" max="16" width="12.88671875" style="72" bestFit="1" customWidth="1"/>
    <col min="17" max="21" width="11.5546875" style="72"/>
    <col min="22" max="22" width="38.44140625" style="72" bestFit="1" customWidth="1"/>
    <col min="23" max="23" width="29.109375" style="72" bestFit="1" customWidth="1"/>
    <col min="24" max="28" width="11.5546875" style="72"/>
    <col min="29" max="29" width="22.109375" style="72" bestFit="1" customWidth="1"/>
    <col min="30" max="30" width="30" style="72" bestFit="1" customWidth="1"/>
    <col min="31" max="16384" width="11.5546875" style="72"/>
  </cols>
  <sheetData>
    <row r="1" spans="1:30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30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30" ht="18.600000000000001" thickBot="1">
      <c r="A3" s="774" t="s">
        <v>1666</v>
      </c>
      <c r="B3" s="775"/>
      <c r="C3" s="492">
        <v>26.2944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30" ht="18.600000000000001" thickBot="1">
      <c r="A4" s="747" t="s">
        <v>1665</v>
      </c>
      <c r="B4" s="776"/>
      <c r="C4" s="783" t="s">
        <v>3241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30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30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30" ht="18.600000000000001" thickBot="1">
      <c r="A7" s="753" t="s">
        <v>3243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30" ht="15" thickBot="1">
      <c r="A8" s="526" t="s">
        <v>9</v>
      </c>
      <c r="B8" s="526" t="s">
        <v>10</v>
      </c>
      <c r="C8" s="527" t="s">
        <v>11</v>
      </c>
      <c r="D8" s="527" t="s">
        <v>12</v>
      </c>
      <c r="E8" s="527" t="s">
        <v>13</v>
      </c>
      <c r="F8" s="527" t="s">
        <v>14</v>
      </c>
      <c r="G8" s="527" t="s">
        <v>15</v>
      </c>
      <c r="H8" s="527" t="s">
        <v>16</v>
      </c>
      <c r="I8" s="527" t="s">
        <v>17</v>
      </c>
      <c r="J8" s="527" t="s">
        <v>18</v>
      </c>
      <c r="K8" s="527" t="s">
        <v>19</v>
      </c>
      <c r="L8" s="527" t="s">
        <v>20</v>
      </c>
      <c r="M8" s="527" t="s">
        <v>21</v>
      </c>
      <c r="O8" s="707" t="s">
        <v>1090</v>
      </c>
      <c r="P8" s="455">
        <f>'BURNING COST'!F8</f>
        <v>721704</v>
      </c>
      <c r="V8" s="72" t="s">
        <v>1062</v>
      </c>
      <c r="W8" s="72" t="s">
        <v>2534</v>
      </c>
      <c r="AC8" s="531" t="s">
        <v>1062</v>
      </c>
      <c r="AD8" s="531" t="s">
        <v>2534</v>
      </c>
    </row>
    <row r="9" spans="1:30">
      <c r="O9" s="215" t="s">
        <v>1091</v>
      </c>
      <c r="V9" s="262" t="s">
        <v>2326</v>
      </c>
      <c r="W9" s="255">
        <v>4887751.4000000004</v>
      </c>
      <c r="AC9" s="262" t="s">
        <v>30</v>
      </c>
      <c r="AD9" s="82">
        <v>153000</v>
      </c>
    </row>
    <row r="10" spans="1:30">
      <c r="A10" s="695" t="s">
        <v>3244</v>
      </c>
      <c r="B10" s="695" t="s">
        <v>1917</v>
      </c>
      <c r="C10" s="695" t="s">
        <v>3245</v>
      </c>
      <c r="D10" s="695" t="s">
        <v>3246</v>
      </c>
      <c r="E10" s="695" t="s">
        <v>33</v>
      </c>
      <c r="F10" s="696">
        <v>45817</v>
      </c>
      <c r="G10" s="696">
        <v>45924</v>
      </c>
      <c r="H10" s="696">
        <v>45929</v>
      </c>
      <c r="I10" s="697">
        <v>7000</v>
      </c>
      <c r="J10" s="697"/>
      <c r="K10" s="697"/>
      <c r="L10" s="697"/>
      <c r="M10" s="62"/>
      <c r="O10" s="708"/>
      <c r="V10" s="262" t="s">
        <v>2401</v>
      </c>
      <c r="W10" s="255">
        <v>1520000</v>
      </c>
      <c r="AC10" s="262" t="s">
        <v>23</v>
      </c>
      <c r="AD10" s="82">
        <v>493387.22</v>
      </c>
    </row>
    <row r="11" spans="1:30">
      <c r="A11" s="695" t="s">
        <v>3247</v>
      </c>
      <c r="B11" s="695" t="s">
        <v>23</v>
      </c>
      <c r="C11" s="695" t="s">
        <v>3245</v>
      </c>
      <c r="D11" s="695" t="s">
        <v>3246</v>
      </c>
      <c r="E11" s="695" t="s">
        <v>33</v>
      </c>
      <c r="F11" s="696">
        <v>45817</v>
      </c>
      <c r="G11" s="696">
        <v>45911</v>
      </c>
      <c r="H11" s="696">
        <v>45923</v>
      </c>
      <c r="I11" s="697">
        <v>24500</v>
      </c>
      <c r="J11" s="697"/>
      <c r="K11" s="697"/>
      <c r="L11" s="697"/>
      <c r="M11" s="62"/>
      <c r="O11" s="215"/>
      <c r="V11" s="262" t="s">
        <v>2563</v>
      </c>
      <c r="W11" s="255">
        <v>1032500</v>
      </c>
      <c r="AC11" s="262" t="s">
        <v>174</v>
      </c>
      <c r="AD11" s="82">
        <v>10958022.040000001</v>
      </c>
    </row>
    <row r="12" spans="1:30">
      <c r="A12" s="695" t="s">
        <v>3248</v>
      </c>
      <c r="B12" s="695" t="s">
        <v>174</v>
      </c>
      <c r="C12" s="695" t="s">
        <v>3245</v>
      </c>
      <c r="D12" s="695" t="s">
        <v>3246</v>
      </c>
      <c r="E12" s="695" t="s">
        <v>33</v>
      </c>
      <c r="F12" s="696">
        <v>45817</v>
      </c>
      <c r="G12" s="696">
        <v>45911</v>
      </c>
      <c r="H12" s="696">
        <v>45923</v>
      </c>
      <c r="I12" s="697">
        <v>100000</v>
      </c>
      <c r="J12" s="697"/>
      <c r="K12" s="697"/>
      <c r="L12" s="697"/>
      <c r="M12" s="62"/>
      <c r="O12" s="708"/>
      <c r="V12" s="262" t="s">
        <v>2569</v>
      </c>
      <c r="W12" s="255">
        <v>966340.02</v>
      </c>
      <c r="AC12" s="262" t="s">
        <v>36</v>
      </c>
      <c r="AD12" s="82">
        <v>1979372.83</v>
      </c>
    </row>
    <row r="13" spans="1:30">
      <c r="A13" s="695" t="s">
        <v>3249</v>
      </c>
      <c r="B13" s="695" t="s">
        <v>174</v>
      </c>
      <c r="C13" s="695" t="s">
        <v>3245</v>
      </c>
      <c r="D13" s="695" t="s">
        <v>3246</v>
      </c>
      <c r="E13" s="695" t="s">
        <v>33</v>
      </c>
      <c r="F13" s="696">
        <v>45817</v>
      </c>
      <c r="G13" s="696">
        <v>45911</v>
      </c>
      <c r="H13" s="696">
        <v>45923</v>
      </c>
      <c r="I13" s="697">
        <v>1097339.7</v>
      </c>
      <c r="J13" s="697">
        <f>+I13+I12+I11+I10</f>
        <v>1228839.7</v>
      </c>
      <c r="K13" s="697">
        <v>721704</v>
      </c>
      <c r="L13" s="697">
        <f>+J13-K13</f>
        <v>507135.69999999995</v>
      </c>
      <c r="M13" s="62"/>
      <c r="O13" s="708">
        <f>IF($J13&gt;P$8,$J13-P$8,0)</f>
        <v>507135.69999999995</v>
      </c>
      <c r="V13" s="262" t="s">
        <v>2574</v>
      </c>
      <c r="W13" s="255">
        <v>905979.95</v>
      </c>
      <c r="AC13" s="262" t="s">
        <v>1066</v>
      </c>
      <c r="AD13" s="82">
        <f>SUM(AD9:AD12)</f>
        <v>13583782.090000002</v>
      </c>
    </row>
    <row r="14" spans="1:30">
      <c r="A14" s="695" t="s">
        <v>3250</v>
      </c>
      <c r="B14" s="695" t="s">
        <v>93</v>
      </c>
      <c r="C14" s="695" t="s">
        <v>3251</v>
      </c>
      <c r="D14" s="695" t="s">
        <v>59</v>
      </c>
      <c r="E14" s="695" t="s">
        <v>33</v>
      </c>
      <c r="F14" s="696">
        <v>45803</v>
      </c>
      <c r="G14" s="696">
        <v>45861</v>
      </c>
      <c r="H14" s="696">
        <v>45861</v>
      </c>
      <c r="I14" s="697">
        <v>760000</v>
      </c>
      <c r="J14" s="697">
        <f>+I14</f>
        <v>760000</v>
      </c>
      <c r="K14" s="697">
        <v>721704</v>
      </c>
      <c r="L14" s="697">
        <f>+J14-K14</f>
        <v>38296</v>
      </c>
      <c r="M14" s="62"/>
      <c r="O14" s="708">
        <f t="shared" ref="O14:O76" si="0">IF($J14&gt;P$8,$J14-P$8,0)</f>
        <v>38296</v>
      </c>
      <c r="V14" s="262" t="s">
        <v>2578</v>
      </c>
      <c r="W14" s="255">
        <v>782080.44</v>
      </c>
      <c r="AC14" s="262"/>
      <c r="AD14" s="82"/>
    </row>
    <row r="15" spans="1:30">
      <c r="A15" s="695" t="s">
        <v>3252</v>
      </c>
      <c r="B15" s="695" t="s">
        <v>23</v>
      </c>
      <c r="C15" s="695" t="s">
        <v>3253</v>
      </c>
      <c r="D15" s="695" t="s">
        <v>3254</v>
      </c>
      <c r="E15" s="695" t="s">
        <v>33</v>
      </c>
      <c r="F15" s="696">
        <v>45829</v>
      </c>
      <c r="G15" s="696">
        <v>45911</v>
      </c>
      <c r="H15" s="696">
        <v>45923</v>
      </c>
      <c r="I15" s="697">
        <v>24500</v>
      </c>
      <c r="J15" s="697"/>
      <c r="K15" s="697"/>
      <c r="L15" s="697"/>
      <c r="M15" s="62"/>
      <c r="O15" s="708"/>
      <c r="V15" s="262" t="s">
        <v>2581</v>
      </c>
      <c r="W15" s="255">
        <v>1489623</v>
      </c>
      <c r="AC15" s="262"/>
      <c r="AD15" s="82"/>
    </row>
    <row r="16" spans="1:30">
      <c r="A16" s="695" t="s">
        <v>3255</v>
      </c>
      <c r="B16" s="695" t="s">
        <v>174</v>
      </c>
      <c r="C16" s="695" t="s">
        <v>3253</v>
      </c>
      <c r="D16" s="695" t="s">
        <v>3254</v>
      </c>
      <c r="E16" s="695" t="s">
        <v>33</v>
      </c>
      <c r="F16" s="696">
        <v>45829</v>
      </c>
      <c r="G16" s="696">
        <v>45911</v>
      </c>
      <c r="H16" s="696">
        <v>45929</v>
      </c>
      <c r="I16" s="697">
        <v>100000</v>
      </c>
      <c r="J16" s="697"/>
      <c r="K16" s="697"/>
      <c r="L16" s="697"/>
      <c r="M16" s="62"/>
      <c r="O16" s="708"/>
      <c r="V16" s="262" t="s">
        <v>2586</v>
      </c>
      <c r="W16" s="255">
        <v>1015000</v>
      </c>
      <c r="AC16" s="262" t="s">
        <v>1062</v>
      </c>
      <c r="AD16" s="82" t="s">
        <v>2534</v>
      </c>
    </row>
    <row r="17" spans="1:31">
      <c r="A17" s="695" t="s">
        <v>3256</v>
      </c>
      <c r="B17" s="695" t="s">
        <v>174</v>
      </c>
      <c r="C17" s="695" t="s">
        <v>3253</v>
      </c>
      <c r="D17" s="695" t="s">
        <v>3254</v>
      </c>
      <c r="E17" s="695" t="s">
        <v>33</v>
      </c>
      <c r="F17" s="696">
        <v>45829</v>
      </c>
      <c r="G17" s="696">
        <v>45911</v>
      </c>
      <c r="H17" s="696">
        <v>45929</v>
      </c>
      <c r="I17" s="697">
        <v>1050000</v>
      </c>
      <c r="J17" s="697">
        <f>+I17+I16+I15</f>
        <v>1174500</v>
      </c>
      <c r="K17" s="697">
        <v>721704</v>
      </c>
      <c r="L17" s="697">
        <f>+J17-K17</f>
        <v>452796</v>
      </c>
      <c r="M17" s="62"/>
      <c r="O17" s="708">
        <f t="shared" si="0"/>
        <v>452796</v>
      </c>
      <c r="V17" s="262" t="s">
        <v>1066</v>
      </c>
      <c r="W17" s="255">
        <v>12599274.809999999</v>
      </c>
      <c r="AC17" s="262" t="s">
        <v>2326</v>
      </c>
      <c r="AD17" s="82">
        <v>11376198.939999999</v>
      </c>
      <c r="AE17" s="72">
        <f>AD17/AD20</f>
        <v>0.8374839101972078</v>
      </c>
    </row>
    <row r="18" spans="1:31">
      <c r="A18" s="695" t="s">
        <v>3257</v>
      </c>
      <c r="B18" s="695" t="s">
        <v>1917</v>
      </c>
      <c r="C18" s="695" t="s">
        <v>3258</v>
      </c>
      <c r="D18" s="695" t="s">
        <v>3259</v>
      </c>
      <c r="E18" s="695" t="s">
        <v>33</v>
      </c>
      <c r="F18" s="696">
        <v>45765</v>
      </c>
      <c r="G18" s="696">
        <v>45813</v>
      </c>
      <c r="H18" s="696">
        <v>45868</v>
      </c>
      <c r="I18" s="697">
        <v>20000</v>
      </c>
      <c r="J18" s="697"/>
      <c r="K18" s="697"/>
      <c r="L18" s="697"/>
      <c r="M18" s="62"/>
      <c r="O18" s="708"/>
      <c r="V18" s="262"/>
      <c r="W18" s="255"/>
      <c r="AC18" s="262" t="s">
        <v>1891</v>
      </c>
      <c r="AD18" s="82">
        <v>1417000</v>
      </c>
      <c r="AE18" s="72">
        <f>AD18/AD20</f>
        <v>0.10431557209999384</v>
      </c>
    </row>
    <row r="19" spans="1:31">
      <c r="A19" s="695" t="s">
        <v>3260</v>
      </c>
      <c r="B19" s="695" t="s">
        <v>23</v>
      </c>
      <c r="C19" s="695" t="s">
        <v>3258</v>
      </c>
      <c r="D19" s="695" t="s">
        <v>3259</v>
      </c>
      <c r="E19" s="695" t="s">
        <v>33</v>
      </c>
      <c r="F19" s="696">
        <v>45765</v>
      </c>
      <c r="G19" s="696">
        <v>45813</v>
      </c>
      <c r="H19" s="696">
        <v>45868</v>
      </c>
      <c r="I19" s="697">
        <v>60000</v>
      </c>
      <c r="J19" s="697"/>
      <c r="K19" s="697"/>
      <c r="L19" s="697"/>
      <c r="M19" s="62"/>
      <c r="O19" s="708"/>
      <c r="V19" s="262"/>
      <c r="W19" s="255"/>
      <c r="AC19" s="262" t="s">
        <v>38</v>
      </c>
      <c r="AD19" s="82">
        <v>790583.15</v>
      </c>
      <c r="AE19" s="72">
        <f>AD19/AD20</f>
        <v>5.8200517702798341E-2</v>
      </c>
    </row>
    <row r="20" spans="1:31">
      <c r="A20" s="695" t="s">
        <v>3261</v>
      </c>
      <c r="B20" s="695" t="s">
        <v>174</v>
      </c>
      <c r="C20" s="695" t="s">
        <v>3258</v>
      </c>
      <c r="D20" s="695" t="s">
        <v>3259</v>
      </c>
      <c r="E20" s="695" t="s">
        <v>33</v>
      </c>
      <c r="F20" s="696">
        <v>45765</v>
      </c>
      <c r="G20" s="696">
        <v>45813</v>
      </c>
      <c r="H20" s="696">
        <v>45889</v>
      </c>
      <c r="I20" s="697">
        <v>679522.41</v>
      </c>
      <c r="J20" s="697">
        <f>SUM(I18:I20)</f>
        <v>759522.41</v>
      </c>
      <c r="K20" s="697">
        <v>721704</v>
      </c>
      <c r="L20" s="697">
        <f>+J20-K20</f>
        <v>37818.410000000033</v>
      </c>
      <c r="M20" s="62"/>
      <c r="O20" s="708">
        <f t="shared" si="0"/>
        <v>37818.410000000033</v>
      </c>
      <c r="V20" s="262"/>
      <c r="W20" s="255"/>
      <c r="AC20" s="262" t="s">
        <v>1066</v>
      </c>
      <c r="AD20" s="82">
        <f>SUM(AD17:AD19)</f>
        <v>13583782.09</v>
      </c>
    </row>
    <row r="21" spans="1:31">
      <c r="A21" s="695" t="s">
        <v>3262</v>
      </c>
      <c r="B21" s="695" t="s">
        <v>23</v>
      </c>
      <c r="C21" s="695" t="s">
        <v>3263</v>
      </c>
      <c r="D21" s="695" t="s">
        <v>1927</v>
      </c>
      <c r="E21" s="695" t="s">
        <v>33</v>
      </c>
      <c r="F21" s="696">
        <v>45813</v>
      </c>
      <c r="G21" s="696">
        <v>45840</v>
      </c>
      <c r="H21" s="696">
        <v>45868</v>
      </c>
      <c r="I21" s="697">
        <v>165000</v>
      </c>
      <c r="J21" s="697"/>
      <c r="K21" s="697"/>
      <c r="L21" s="697"/>
      <c r="M21" s="62"/>
      <c r="O21" s="708"/>
      <c r="V21" s="262"/>
      <c r="W21" s="255"/>
      <c r="AC21" s="262"/>
      <c r="AD21" s="82"/>
    </row>
    <row r="22" spans="1:31">
      <c r="A22" s="695" t="s">
        <v>3264</v>
      </c>
      <c r="B22" s="695" t="s">
        <v>174</v>
      </c>
      <c r="C22" s="695" t="s">
        <v>3263</v>
      </c>
      <c r="D22" s="695" t="s">
        <v>1927</v>
      </c>
      <c r="E22" s="695" t="s">
        <v>33</v>
      </c>
      <c r="F22" s="696">
        <v>45813</v>
      </c>
      <c r="G22" s="696">
        <v>45840</v>
      </c>
      <c r="H22" s="696">
        <v>45868</v>
      </c>
      <c r="I22" s="697">
        <v>1047000</v>
      </c>
      <c r="J22" s="697">
        <f>SUM(I21:I22)</f>
        <v>1212000</v>
      </c>
      <c r="K22" s="697">
        <v>721704</v>
      </c>
      <c r="L22" s="697">
        <f>+J22-K22</f>
        <v>490296</v>
      </c>
      <c r="M22" s="62"/>
      <c r="O22" s="708">
        <f t="shared" si="0"/>
        <v>490296</v>
      </c>
      <c r="V22" s="262"/>
      <c r="W22" s="255"/>
      <c r="AC22" s="262"/>
      <c r="AD22" s="82"/>
    </row>
    <row r="23" spans="1:31">
      <c r="A23" s="695" t="s">
        <v>3265</v>
      </c>
      <c r="B23" s="695" t="s">
        <v>1900</v>
      </c>
      <c r="C23" s="695" t="s">
        <v>3266</v>
      </c>
      <c r="D23" s="695" t="s">
        <v>2057</v>
      </c>
      <c r="E23" s="695" t="s">
        <v>33</v>
      </c>
      <c r="F23" s="696">
        <v>45851</v>
      </c>
      <c r="G23" s="696">
        <v>45901</v>
      </c>
      <c r="H23" s="696">
        <v>45938</v>
      </c>
      <c r="I23" s="697">
        <v>955000</v>
      </c>
      <c r="J23" s="697"/>
      <c r="K23" s="697"/>
      <c r="L23" s="697"/>
      <c r="M23" s="62"/>
      <c r="O23" s="708"/>
      <c r="V23" s="262"/>
      <c r="W23" s="255"/>
      <c r="AC23" s="262"/>
      <c r="AD23" s="82"/>
    </row>
    <row r="24" spans="1:31">
      <c r="A24" s="695" t="s">
        <v>3267</v>
      </c>
      <c r="B24" s="695" t="s">
        <v>23</v>
      </c>
      <c r="C24" s="695" t="s">
        <v>3266</v>
      </c>
      <c r="D24" s="695" t="s">
        <v>2057</v>
      </c>
      <c r="E24" s="695" t="s">
        <v>33</v>
      </c>
      <c r="F24" s="696">
        <v>45851</v>
      </c>
      <c r="G24" s="696">
        <v>45901</v>
      </c>
      <c r="H24" s="696">
        <v>45938</v>
      </c>
      <c r="I24" s="697">
        <v>11102.09</v>
      </c>
      <c r="J24" s="697">
        <f>+I24+I23</f>
        <v>966102.09</v>
      </c>
      <c r="K24" s="697">
        <v>721704</v>
      </c>
      <c r="L24" s="697">
        <f>+J24-K24</f>
        <v>244398.08999999997</v>
      </c>
      <c r="M24" s="62"/>
      <c r="O24" s="708">
        <f t="shared" si="0"/>
        <v>244398.08999999997</v>
      </c>
      <c r="V24" s="262"/>
      <c r="W24" s="255"/>
      <c r="AC24" s="262"/>
      <c r="AD24" s="82"/>
    </row>
    <row r="25" spans="1:31">
      <c r="A25" s="695" t="s">
        <v>3268</v>
      </c>
      <c r="B25" s="695" t="s">
        <v>1900</v>
      </c>
      <c r="C25" s="695" t="s">
        <v>3269</v>
      </c>
      <c r="D25" s="695" t="s">
        <v>38</v>
      </c>
      <c r="E25" s="695" t="s">
        <v>33</v>
      </c>
      <c r="F25" s="696">
        <v>45710</v>
      </c>
      <c r="G25" s="696">
        <v>45779</v>
      </c>
      <c r="H25" s="696">
        <v>45805</v>
      </c>
      <c r="I25" s="697">
        <v>405000</v>
      </c>
      <c r="J25" s="697"/>
      <c r="K25" s="697"/>
      <c r="L25" s="697"/>
      <c r="M25" s="62"/>
      <c r="O25" s="708"/>
      <c r="V25" s="262"/>
      <c r="W25" s="255"/>
      <c r="AC25" s="262"/>
      <c r="AD25" s="82"/>
    </row>
    <row r="26" spans="1:31">
      <c r="A26" s="695" t="s">
        <v>3270</v>
      </c>
      <c r="B26" s="695" t="s">
        <v>23</v>
      </c>
      <c r="C26" s="695" t="s">
        <v>3269</v>
      </c>
      <c r="D26" s="695" t="s">
        <v>38</v>
      </c>
      <c r="E26" s="695" t="s">
        <v>33</v>
      </c>
      <c r="F26" s="696">
        <v>45710</v>
      </c>
      <c r="G26" s="696">
        <v>45779</v>
      </c>
      <c r="H26" s="696">
        <v>45828</v>
      </c>
      <c r="I26" s="697">
        <v>115000</v>
      </c>
      <c r="J26" s="697"/>
      <c r="K26" s="697"/>
      <c r="L26" s="697"/>
      <c r="M26" s="62"/>
      <c r="O26" s="708"/>
      <c r="V26" s="262"/>
      <c r="W26" s="255"/>
      <c r="AC26" s="262"/>
      <c r="AD26" s="82"/>
    </row>
    <row r="27" spans="1:31">
      <c r="A27" s="695" t="s">
        <v>3271</v>
      </c>
      <c r="B27" s="695" t="s">
        <v>23</v>
      </c>
      <c r="C27" s="695" t="s">
        <v>3269</v>
      </c>
      <c r="D27" s="695" t="s">
        <v>38</v>
      </c>
      <c r="E27" s="695" t="s">
        <v>33</v>
      </c>
      <c r="F27" s="696">
        <v>45710</v>
      </c>
      <c r="G27" s="696">
        <v>45805</v>
      </c>
      <c r="H27" s="696">
        <v>45818</v>
      </c>
      <c r="I27" s="697">
        <v>11920.41</v>
      </c>
      <c r="J27" s="697"/>
      <c r="K27" s="697"/>
      <c r="L27" s="697"/>
      <c r="M27" s="62"/>
      <c r="O27" s="708"/>
      <c r="V27" s="262"/>
      <c r="W27" s="255"/>
      <c r="AC27" s="262"/>
      <c r="AD27" s="82"/>
    </row>
    <row r="28" spans="1:31">
      <c r="A28" s="695" t="s">
        <v>3272</v>
      </c>
      <c r="B28" s="695" t="s">
        <v>174</v>
      </c>
      <c r="C28" s="695" t="s">
        <v>3269</v>
      </c>
      <c r="D28" s="695" t="s">
        <v>38</v>
      </c>
      <c r="E28" s="695" t="s">
        <v>33</v>
      </c>
      <c r="F28" s="696">
        <v>45799</v>
      </c>
      <c r="G28" s="696">
        <v>45799</v>
      </c>
      <c r="H28" s="696">
        <v>45828</v>
      </c>
      <c r="I28" s="697">
        <v>1968906.09</v>
      </c>
      <c r="J28" s="697">
        <f>SUM(I25:I28)</f>
        <v>2500826.5</v>
      </c>
      <c r="K28" s="697">
        <v>721704</v>
      </c>
      <c r="L28" s="697">
        <f>+J28-K28</f>
        <v>1779122.5</v>
      </c>
      <c r="M28" s="62"/>
      <c r="O28" s="708">
        <f t="shared" si="0"/>
        <v>1779122.5</v>
      </c>
      <c r="V28" s="262"/>
      <c r="W28" s="255"/>
      <c r="AC28" s="262"/>
      <c r="AD28" s="82"/>
    </row>
    <row r="29" spans="1:31">
      <c r="A29" s="695" t="s">
        <v>3273</v>
      </c>
      <c r="B29" s="695" t="s">
        <v>174</v>
      </c>
      <c r="C29" s="695" t="s">
        <v>3274</v>
      </c>
      <c r="D29" s="695" t="s">
        <v>43</v>
      </c>
      <c r="E29" s="695" t="s">
        <v>33</v>
      </c>
      <c r="F29" s="696">
        <v>45734</v>
      </c>
      <c r="G29" s="696">
        <v>45734</v>
      </c>
      <c r="H29" s="696">
        <v>45869</v>
      </c>
      <c r="I29" s="697">
        <v>805551.85</v>
      </c>
      <c r="J29" s="697"/>
      <c r="K29" s="697"/>
      <c r="L29" s="697"/>
      <c r="M29" s="62"/>
      <c r="O29" s="708"/>
      <c r="V29" s="262"/>
      <c r="W29" s="255"/>
      <c r="AC29" s="262"/>
      <c r="AD29" s="82"/>
    </row>
    <row r="30" spans="1:31">
      <c r="A30" s="695" t="s">
        <v>3275</v>
      </c>
      <c r="B30" s="695" t="s">
        <v>23</v>
      </c>
      <c r="C30" s="695" t="s">
        <v>3274</v>
      </c>
      <c r="D30" s="695" t="s">
        <v>43</v>
      </c>
      <c r="E30" s="695" t="s">
        <v>33</v>
      </c>
      <c r="F30" s="696">
        <v>45734</v>
      </c>
      <c r="G30" s="696">
        <v>45734</v>
      </c>
      <c r="H30" s="696">
        <v>45869</v>
      </c>
      <c r="I30" s="697">
        <v>125057.57</v>
      </c>
      <c r="J30" s="697"/>
      <c r="K30" s="697"/>
      <c r="L30" s="697"/>
      <c r="M30" s="62"/>
      <c r="O30" s="708"/>
      <c r="V30" s="262"/>
      <c r="W30" s="255"/>
      <c r="AC30" s="262"/>
      <c r="AD30" s="82"/>
    </row>
    <row r="31" spans="1:31">
      <c r="A31" s="695" t="s">
        <v>3276</v>
      </c>
      <c r="B31" s="695" t="s">
        <v>1917</v>
      </c>
      <c r="C31" s="695" t="s">
        <v>3274</v>
      </c>
      <c r="D31" s="695" t="s">
        <v>43</v>
      </c>
      <c r="E31" s="695" t="s">
        <v>33</v>
      </c>
      <c r="F31" s="696">
        <v>45734</v>
      </c>
      <c r="G31" s="696">
        <v>45839</v>
      </c>
      <c r="H31" s="696">
        <v>45863</v>
      </c>
      <c r="I31" s="697">
        <v>20000</v>
      </c>
      <c r="J31" s="697"/>
      <c r="K31" s="697"/>
      <c r="L31" s="697"/>
      <c r="M31" s="62"/>
      <c r="O31" s="708"/>
      <c r="V31" s="262"/>
      <c r="W31" s="255"/>
      <c r="AC31" s="262"/>
      <c r="AD31" s="82"/>
    </row>
    <row r="32" spans="1:31">
      <c r="A32" s="695" t="s">
        <v>3277</v>
      </c>
      <c r="B32" s="695" t="s">
        <v>23</v>
      </c>
      <c r="C32" s="695" t="s">
        <v>3274</v>
      </c>
      <c r="D32" s="695" t="s">
        <v>43</v>
      </c>
      <c r="E32" s="695" t="s">
        <v>33</v>
      </c>
      <c r="F32" s="696">
        <v>45734</v>
      </c>
      <c r="G32" s="696">
        <v>45839</v>
      </c>
      <c r="H32" s="696">
        <v>45863</v>
      </c>
      <c r="I32" s="697">
        <v>24495.39</v>
      </c>
      <c r="J32" s="697">
        <f>SUM(I29:I32)</f>
        <v>975104.80999999994</v>
      </c>
      <c r="K32" s="697">
        <v>721704</v>
      </c>
      <c r="L32" s="697">
        <f>+J32-K32</f>
        <v>253400.80999999994</v>
      </c>
      <c r="M32" s="62"/>
      <c r="O32" s="708">
        <f t="shared" si="0"/>
        <v>253400.80999999994</v>
      </c>
      <c r="V32" s="262"/>
      <c r="W32" s="255"/>
      <c r="AC32" s="262"/>
      <c r="AD32" s="82"/>
    </row>
    <row r="33" spans="1:30">
      <c r="A33" s="695" t="s">
        <v>3278</v>
      </c>
      <c r="B33" s="695" t="s">
        <v>1985</v>
      </c>
      <c r="C33" s="695" t="s">
        <v>3279</v>
      </c>
      <c r="D33" s="695" t="s">
        <v>3280</v>
      </c>
      <c r="E33" s="695" t="s">
        <v>33</v>
      </c>
      <c r="F33" s="696">
        <v>45716</v>
      </c>
      <c r="G33" s="696">
        <v>45755</v>
      </c>
      <c r="H33" s="696">
        <v>45772</v>
      </c>
      <c r="I33" s="697">
        <v>770000</v>
      </c>
      <c r="J33" s="697">
        <f>+I33</f>
        <v>770000</v>
      </c>
      <c r="K33" s="697">
        <v>721704</v>
      </c>
      <c r="L33" s="697">
        <f>+J33-K33</f>
        <v>48296</v>
      </c>
      <c r="M33" s="62"/>
      <c r="O33" s="708">
        <f t="shared" si="0"/>
        <v>48296</v>
      </c>
      <c r="V33" s="262"/>
      <c r="W33" s="255"/>
      <c r="AC33" s="262"/>
      <c r="AD33" s="82"/>
    </row>
    <row r="34" spans="1:30">
      <c r="A34" s="695" t="s">
        <v>3281</v>
      </c>
      <c r="B34" s="695" t="s">
        <v>23</v>
      </c>
      <c r="C34" s="695" t="s">
        <v>3282</v>
      </c>
      <c r="D34" s="695" t="s">
        <v>750</v>
      </c>
      <c r="E34" s="695" t="s">
        <v>33</v>
      </c>
      <c r="F34" s="696">
        <v>45756</v>
      </c>
      <c r="G34" s="696">
        <v>45792</v>
      </c>
      <c r="H34" s="696">
        <v>45803</v>
      </c>
      <c r="I34" s="697">
        <v>29171.01</v>
      </c>
      <c r="J34" s="697"/>
      <c r="K34" s="697"/>
      <c r="L34" s="697"/>
      <c r="M34" s="62"/>
      <c r="O34" s="708"/>
      <c r="V34" s="262"/>
      <c r="W34" s="255"/>
      <c r="AC34" s="262"/>
      <c r="AD34" s="82"/>
    </row>
    <row r="35" spans="1:30">
      <c r="A35" s="695" t="s">
        <v>3283</v>
      </c>
      <c r="B35" s="695" t="s">
        <v>174</v>
      </c>
      <c r="C35" s="695" t="s">
        <v>3282</v>
      </c>
      <c r="D35" s="695" t="s">
        <v>750</v>
      </c>
      <c r="E35" s="695" t="s">
        <v>33</v>
      </c>
      <c r="F35" s="696">
        <v>45756</v>
      </c>
      <c r="G35" s="696">
        <v>45792</v>
      </c>
      <c r="H35" s="696">
        <v>45803</v>
      </c>
      <c r="I35" s="697">
        <v>707668.41</v>
      </c>
      <c r="J35" s="697">
        <f>+I35+I34</f>
        <v>736839.42</v>
      </c>
      <c r="K35" s="697">
        <v>721704</v>
      </c>
      <c r="L35" s="697">
        <f>+J35-K35</f>
        <v>15135.420000000042</v>
      </c>
      <c r="M35" s="62"/>
      <c r="O35" s="708">
        <f t="shared" si="0"/>
        <v>15135.420000000042</v>
      </c>
      <c r="V35" s="262"/>
      <c r="W35" s="255"/>
      <c r="AC35" s="262"/>
      <c r="AD35" s="82"/>
    </row>
    <row r="36" spans="1:30">
      <c r="A36" s="695" t="s">
        <v>3284</v>
      </c>
      <c r="B36" s="695" t="s">
        <v>23</v>
      </c>
      <c r="C36" s="695" t="s">
        <v>3285</v>
      </c>
      <c r="D36" s="695" t="s">
        <v>773</v>
      </c>
      <c r="E36" s="695" t="s">
        <v>33</v>
      </c>
      <c r="F36" s="696">
        <v>45879</v>
      </c>
      <c r="G36" s="696">
        <v>45917</v>
      </c>
      <c r="H36" s="696">
        <v>45929</v>
      </c>
      <c r="I36" s="697">
        <v>199025.31</v>
      </c>
      <c r="J36" s="697"/>
      <c r="K36" s="697"/>
      <c r="L36" s="697"/>
      <c r="M36" s="62"/>
      <c r="O36" s="708"/>
      <c r="V36" s="262"/>
      <c r="W36" s="255"/>
      <c r="AC36" s="262"/>
      <c r="AD36" s="82"/>
    </row>
    <row r="37" spans="1:30">
      <c r="A37" s="695" t="s">
        <v>3286</v>
      </c>
      <c r="B37" s="695" t="s">
        <v>174</v>
      </c>
      <c r="C37" s="695" t="s">
        <v>3285</v>
      </c>
      <c r="D37" s="695" t="s">
        <v>773</v>
      </c>
      <c r="E37" s="695" t="s">
        <v>33</v>
      </c>
      <c r="F37" s="696">
        <v>45879</v>
      </c>
      <c r="G37" s="696">
        <v>45917</v>
      </c>
      <c r="H37" s="696">
        <v>45929</v>
      </c>
      <c r="I37" s="697">
        <v>1699228.4</v>
      </c>
      <c r="J37" s="698"/>
      <c r="K37" s="698"/>
      <c r="L37" s="698"/>
      <c r="M37" s="62"/>
      <c r="O37" s="708"/>
      <c r="V37" s="262"/>
      <c r="W37" s="255"/>
      <c r="AC37" s="262"/>
      <c r="AD37" s="82"/>
    </row>
    <row r="38" spans="1:30">
      <c r="A38" s="695" t="s">
        <v>3287</v>
      </c>
      <c r="B38" s="695" t="s">
        <v>23</v>
      </c>
      <c r="C38" s="695" t="s">
        <v>3285</v>
      </c>
      <c r="D38" s="695" t="s">
        <v>773</v>
      </c>
      <c r="E38" s="695" t="s">
        <v>33</v>
      </c>
      <c r="F38" s="696">
        <v>45879</v>
      </c>
      <c r="G38" s="696">
        <v>45936</v>
      </c>
      <c r="H38" s="696">
        <v>45959</v>
      </c>
      <c r="I38" s="697">
        <v>63377.45</v>
      </c>
      <c r="J38" s="697"/>
      <c r="K38" s="697"/>
      <c r="L38" s="697"/>
      <c r="M38" s="62"/>
      <c r="O38" s="708"/>
      <c r="V38" s="262"/>
      <c r="W38" s="255"/>
      <c r="AC38" s="262"/>
      <c r="AD38" s="82"/>
    </row>
    <row r="39" spans="1:30">
      <c r="A39" s="695" t="s">
        <v>3288</v>
      </c>
      <c r="B39" s="695" t="s">
        <v>174</v>
      </c>
      <c r="C39" s="695" t="s">
        <v>3285</v>
      </c>
      <c r="D39" s="695" t="s">
        <v>773</v>
      </c>
      <c r="E39" s="695" t="s">
        <v>33</v>
      </c>
      <c r="F39" s="696">
        <v>45879</v>
      </c>
      <c r="G39" s="696">
        <v>45936</v>
      </c>
      <c r="H39" s="696">
        <v>45959</v>
      </c>
      <c r="I39" s="697">
        <v>119581.01</v>
      </c>
      <c r="J39" s="697">
        <f>+I37+I36+I38+I39</f>
        <v>2081212.17</v>
      </c>
      <c r="K39" s="697">
        <v>721704</v>
      </c>
      <c r="L39" s="697">
        <f>+J39-K39</f>
        <v>1359508.17</v>
      </c>
      <c r="M39" s="62"/>
      <c r="O39" s="708">
        <f t="shared" si="0"/>
        <v>1359508.17</v>
      </c>
      <c r="V39" s="262"/>
      <c r="W39" s="255"/>
      <c r="AC39" s="262"/>
      <c r="AD39" s="82"/>
    </row>
    <row r="40" spans="1:30">
      <c r="A40" s="695" t="s">
        <v>3289</v>
      </c>
      <c r="B40" s="695" t="s">
        <v>23</v>
      </c>
      <c r="C40" s="695" t="s">
        <v>3290</v>
      </c>
      <c r="D40" s="695" t="s">
        <v>3291</v>
      </c>
      <c r="E40" s="695" t="s">
        <v>33</v>
      </c>
      <c r="F40" s="696">
        <v>45705</v>
      </c>
      <c r="G40" s="696">
        <v>45772</v>
      </c>
      <c r="H40" s="696">
        <v>45803</v>
      </c>
      <c r="I40" s="697">
        <v>55000</v>
      </c>
      <c r="J40" s="697"/>
      <c r="K40" s="697"/>
      <c r="L40" s="697"/>
      <c r="M40" s="62"/>
      <c r="O40" s="708"/>
      <c r="V40" s="262"/>
      <c r="W40" s="255"/>
      <c r="AC40" s="262"/>
      <c r="AD40" s="82"/>
    </row>
    <row r="41" spans="1:30">
      <c r="A41" s="695" t="s">
        <v>3292</v>
      </c>
      <c r="B41" s="695" t="s">
        <v>174</v>
      </c>
      <c r="C41" s="695" t="s">
        <v>3290</v>
      </c>
      <c r="D41" s="695" t="s">
        <v>3291</v>
      </c>
      <c r="E41" s="695" t="s">
        <v>33</v>
      </c>
      <c r="F41" s="696">
        <v>45705</v>
      </c>
      <c r="G41" s="696">
        <v>45772</v>
      </c>
      <c r="H41" s="696">
        <v>45803</v>
      </c>
      <c r="I41" s="697">
        <v>1020000</v>
      </c>
      <c r="J41" s="697"/>
      <c r="K41" s="697"/>
      <c r="L41" s="697"/>
      <c r="M41" s="62"/>
      <c r="O41" s="708"/>
      <c r="V41" s="262"/>
      <c r="W41" s="255"/>
      <c r="AC41" s="262"/>
      <c r="AD41" s="82"/>
    </row>
    <row r="42" spans="1:30">
      <c r="A42" s="695" t="s">
        <v>3293</v>
      </c>
      <c r="B42" s="695" t="s">
        <v>93</v>
      </c>
      <c r="C42" s="695" t="s">
        <v>3290</v>
      </c>
      <c r="D42" s="695" t="s">
        <v>3291</v>
      </c>
      <c r="E42" s="695" t="s">
        <v>33</v>
      </c>
      <c r="F42" s="696">
        <v>45705</v>
      </c>
      <c r="G42" s="696">
        <v>45813</v>
      </c>
      <c r="H42" s="696">
        <v>45820</v>
      </c>
      <c r="I42" s="697">
        <v>285000</v>
      </c>
      <c r="J42" s="697">
        <f>SUM(I40:I42)</f>
        <v>1360000</v>
      </c>
      <c r="K42" s="697">
        <v>721704</v>
      </c>
      <c r="L42" s="697">
        <f>+J42-K42</f>
        <v>638296</v>
      </c>
      <c r="M42" s="62"/>
      <c r="O42" s="708">
        <f t="shared" si="0"/>
        <v>638296</v>
      </c>
      <c r="V42" s="262"/>
      <c r="W42" s="255"/>
      <c r="AC42" s="262"/>
      <c r="AD42" s="82"/>
    </row>
    <row r="43" spans="1:30">
      <c r="A43" s="695" t="s">
        <v>3294</v>
      </c>
      <c r="B43" s="695" t="s">
        <v>1900</v>
      </c>
      <c r="C43" s="695" t="s">
        <v>3295</v>
      </c>
      <c r="D43" s="695" t="s">
        <v>43</v>
      </c>
      <c r="E43" s="695" t="s">
        <v>33</v>
      </c>
      <c r="F43" s="696">
        <v>45724</v>
      </c>
      <c r="G43" s="696">
        <v>45748</v>
      </c>
      <c r="H43" s="696">
        <v>45799</v>
      </c>
      <c r="I43" s="697">
        <v>205000</v>
      </c>
      <c r="J43" s="697"/>
      <c r="K43" s="697"/>
      <c r="L43" s="697"/>
      <c r="M43" s="62"/>
      <c r="O43" s="708"/>
      <c r="V43" s="262"/>
      <c r="W43" s="255"/>
      <c r="AC43" s="262"/>
      <c r="AD43" s="82"/>
    </row>
    <row r="44" spans="1:30">
      <c r="A44" s="695" t="s">
        <v>3296</v>
      </c>
      <c r="B44" s="695" t="s">
        <v>1917</v>
      </c>
      <c r="C44" s="695" t="s">
        <v>3295</v>
      </c>
      <c r="D44" s="695" t="s">
        <v>43</v>
      </c>
      <c r="E44" s="695" t="s">
        <v>33</v>
      </c>
      <c r="F44" s="696">
        <v>45724</v>
      </c>
      <c r="G44" s="696">
        <v>45779</v>
      </c>
      <c r="H44" s="696">
        <v>45820</v>
      </c>
      <c r="I44" s="697">
        <v>30000</v>
      </c>
      <c r="J44" s="697"/>
      <c r="K44" s="697"/>
      <c r="L44" s="697"/>
      <c r="M44" s="62"/>
      <c r="O44" s="708"/>
      <c r="V44" s="262"/>
      <c r="W44" s="255"/>
      <c r="AC44" s="262"/>
      <c r="AD44" s="82"/>
    </row>
    <row r="45" spans="1:30">
      <c r="A45" s="695" t="s">
        <v>3297</v>
      </c>
      <c r="B45" s="695" t="s">
        <v>23</v>
      </c>
      <c r="C45" s="695" t="s">
        <v>3295</v>
      </c>
      <c r="D45" s="695" t="s">
        <v>43</v>
      </c>
      <c r="E45" s="695" t="s">
        <v>33</v>
      </c>
      <c r="F45" s="696">
        <v>45724</v>
      </c>
      <c r="G45" s="696">
        <v>45779</v>
      </c>
      <c r="H45" s="696">
        <v>45820</v>
      </c>
      <c r="I45" s="697">
        <v>51191.81</v>
      </c>
      <c r="J45" s="697"/>
      <c r="K45" s="697"/>
      <c r="L45" s="697"/>
      <c r="M45" s="62"/>
      <c r="O45" s="708"/>
      <c r="V45" s="262"/>
      <c r="W45" s="255"/>
      <c r="AC45" s="262"/>
      <c r="AD45" s="82"/>
    </row>
    <row r="46" spans="1:30">
      <c r="A46" s="695" t="s">
        <v>3298</v>
      </c>
      <c r="B46" s="695" t="s">
        <v>174</v>
      </c>
      <c r="C46" s="695" t="s">
        <v>3295</v>
      </c>
      <c r="D46" s="695" t="s">
        <v>43</v>
      </c>
      <c r="E46" s="695" t="s">
        <v>33</v>
      </c>
      <c r="F46" s="696">
        <v>45724</v>
      </c>
      <c r="G46" s="696">
        <v>45779</v>
      </c>
      <c r="H46" s="696">
        <v>45820</v>
      </c>
      <c r="I46" s="697">
        <v>179103.58</v>
      </c>
      <c r="J46" s="697"/>
      <c r="K46" s="697"/>
      <c r="L46" s="697"/>
      <c r="M46" s="62"/>
      <c r="O46" s="708"/>
      <c r="V46" s="262"/>
      <c r="W46" s="255"/>
      <c r="AC46" s="262"/>
      <c r="AD46" s="82"/>
    </row>
    <row r="47" spans="1:30">
      <c r="A47" s="695" t="s">
        <v>3299</v>
      </c>
      <c r="B47" s="695" t="s">
        <v>1900</v>
      </c>
      <c r="C47" s="695" t="s">
        <v>3295</v>
      </c>
      <c r="D47" s="695" t="s">
        <v>43</v>
      </c>
      <c r="E47" s="695" t="s">
        <v>33</v>
      </c>
      <c r="F47" s="696">
        <v>45724</v>
      </c>
      <c r="G47" s="696">
        <v>45810</v>
      </c>
      <c r="H47" s="696">
        <v>45860</v>
      </c>
      <c r="I47" s="697">
        <v>267000</v>
      </c>
      <c r="J47" s="698"/>
      <c r="K47" s="698"/>
      <c r="L47" s="698"/>
      <c r="M47" s="62"/>
      <c r="O47" s="708"/>
      <c r="V47" s="262"/>
      <c r="W47" s="255"/>
      <c r="AC47" s="262"/>
      <c r="AD47" s="82"/>
    </row>
    <row r="48" spans="1:30">
      <c r="A48" s="695" t="s">
        <v>3300</v>
      </c>
      <c r="B48" s="695" t="s">
        <v>23</v>
      </c>
      <c r="C48" s="695" t="s">
        <v>3295</v>
      </c>
      <c r="D48" s="695" t="s">
        <v>43</v>
      </c>
      <c r="E48" s="695" t="s">
        <v>33</v>
      </c>
      <c r="F48" s="696">
        <v>45724</v>
      </c>
      <c r="G48" s="696">
        <v>45946</v>
      </c>
      <c r="H48" s="696">
        <v>45959</v>
      </c>
      <c r="I48" s="697">
        <v>24501.279999999999</v>
      </c>
      <c r="J48" s="697"/>
      <c r="K48" s="697"/>
      <c r="L48" s="697"/>
      <c r="M48" s="62"/>
      <c r="O48" s="708"/>
      <c r="V48" s="262"/>
      <c r="W48" s="255"/>
      <c r="AC48" s="262"/>
      <c r="AD48" s="82"/>
    </row>
    <row r="49" spans="1:30">
      <c r="A49" s="695" t="s">
        <v>3301</v>
      </c>
      <c r="B49" s="695" t="s">
        <v>174</v>
      </c>
      <c r="C49" s="695" t="s">
        <v>3295</v>
      </c>
      <c r="D49" s="695" t="s">
        <v>43</v>
      </c>
      <c r="E49" s="695" t="s">
        <v>33</v>
      </c>
      <c r="F49" s="696">
        <v>45724</v>
      </c>
      <c r="G49" s="696">
        <v>45946</v>
      </c>
      <c r="H49" s="696">
        <v>45959</v>
      </c>
      <c r="I49" s="697">
        <v>46331.26</v>
      </c>
      <c r="J49" s="697">
        <f>SUM(I43:I49)</f>
        <v>803127.93</v>
      </c>
      <c r="K49" s="697">
        <v>721704</v>
      </c>
      <c r="L49" s="697">
        <f>+J49-K49</f>
        <v>81423.930000000051</v>
      </c>
      <c r="M49" s="62"/>
      <c r="O49" s="708">
        <f t="shared" si="0"/>
        <v>81423.930000000051</v>
      </c>
      <c r="V49" s="262"/>
      <c r="W49" s="255"/>
      <c r="AC49" s="262"/>
      <c r="AD49" s="82"/>
    </row>
    <row r="50" spans="1:30">
      <c r="A50" s="695" t="s">
        <v>3302</v>
      </c>
      <c r="B50" s="695" t="s">
        <v>30</v>
      </c>
      <c r="C50" s="695" t="s">
        <v>3303</v>
      </c>
      <c r="D50" s="695" t="s">
        <v>2712</v>
      </c>
      <c r="E50" s="695" t="s">
        <v>26</v>
      </c>
      <c r="F50" s="696">
        <v>45782</v>
      </c>
      <c r="G50" s="696">
        <v>45841</v>
      </c>
      <c r="H50" s="696">
        <v>45897</v>
      </c>
      <c r="I50" s="697">
        <v>130000</v>
      </c>
      <c r="J50" s="697"/>
      <c r="K50" s="697"/>
      <c r="L50" s="697"/>
      <c r="M50" s="62"/>
      <c r="O50" s="708"/>
      <c r="V50" s="262"/>
      <c r="W50" s="255"/>
      <c r="AC50" s="262"/>
      <c r="AD50" s="82"/>
    </row>
    <row r="51" spans="1:30">
      <c r="A51" s="695" t="s">
        <v>3304</v>
      </c>
      <c r="B51" s="695" t="s">
        <v>174</v>
      </c>
      <c r="C51" s="695" t="s">
        <v>3303</v>
      </c>
      <c r="D51" s="695" t="s">
        <v>2712</v>
      </c>
      <c r="E51" s="695" t="s">
        <v>26</v>
      </c>
      <c r="F51" s="696">
        <v>45782</v>
      </c>
      <c r="G51" s="696">
        <v>45841</v>
      </c>
      <c r="H51" s="696">
        <v>45897</v>
      </c>
      <c r="I51" s="697">
        <v>1572638.03</v>
      </c>
      <c r="J51" s="697">
        <f>+I51+I50</f>
        <v>1702638.03</v>
      </c>
      <c r="K51" s="697">
        <v>721704</v>
      </c>
      <c r="L51" s="697">
        <f>+J51-K51</f>
        <v>980934.03</v>
      </c>
      <c r="M51" s="62"/>
      <c r="O51" s="708">
        <f t="shared" si="0"/>
        <v>980934.03</v>
      </c>
      <c r="V51" s="262"/>
      <c r="W51" s="255"/>
      <c r="AC51" s="262"/>
      <c r="AD51" s="82"/>
    </row>
    <row r="52" spans="1:30">
      <c r="A52" s="695" t="s">
        <v>3305</v>
      </c>
      <c r="B52" s="695" t="s">
        <v>30</v>
      </c>
      <c r="C52" s="699" t="s">
        <v>3306</v>
      </c>
      <c r="D52" s="695" t="s">
        <v>84</v>
      </c>
      <c r="E52" s="695" t="s">
        <v>33</v>
      </c>
      <c r="F52" s="696">
        <v>45830</v>
      </c>
      <c r="G52" s="696">
        <v>45854</v>
      </c>
      <c r="H52" s="700">
        <v>45883</v>
      </c>
      <c r="I52" s="701">
        <v>60000</v>
      </c>
      <c r="J52" s="701"/>
      <c r="K52" s="697"/>
      <c r="L52" s="697"/>
      <c r="M52" s="62"/>
      <c r="O52" s="708"/>
      <c r="V52" s="262"/>
      <c r="W52" s="255"/>
      <c r="AC52" s="262"/>
      <c r="AD52" s="82"/>
    </row>
    <row r="53" spans="1:30">
      <c r="A53" s="695" t="s">
        <v>3307</v>
      </c>
      <c r="B53" s="695" t="s">
        <v>174</v>
      </c>
      <c r="C53" s="699" t="s">
        <v>3306</v>
      </c>
      <c r="D53" s="695" t="s">
        <v>84</v>
      </c>
      <c r="E53" s="695" t="s">
        <v>33</v>
      </c>
      <c r="F53" s="696">
        <v>45830</v>
      </c>
      <c r="G53" s="696">
        <v>45854</v>
      </c>
      <c r="H53" s="700">
        <v>45883</v>
      </c>
      <c r="I53" s="701">
        <v>6000622.0700000003</v>
      </c>
      <c r="J53" s="701">
        <f>SUM(I52:I53)</f>
        <v>6060622.0700000003</v>
      </c>
      <c r="K53" s="697">
        <v>721704</v>
      </c>
      <c r="L53" s="697">
        <f>+J53-K53</f>
        <v>5338918.07</v>
      </c>
      <c r="M53" s="62"/>
      <c r="O53" s="708">
        <f t="shared" si="0"/>
        <v>5338918.07</v>
      </c>
      <c r="V53" s="262"/>
      <c r="W53" s="255"/>
      <c r="AC53" s="262"/>
      <c r="AD53" s="82"/>
    </row>
    <row r="54" spans="1:30">
      <c r="A54" s="695" t="s">
        <v>3308</v>
      </c>
      <c r="B54" s="695" t="s">
        <v>1917</v>
      </c>
      <c r="C54" s="695" t="s">
        <v>3309</v>
      </c>
      <c r="D54" s="695" t="s">
        <v>391</v>
      </c>
      <c r="E54" s="695" t="s">
        <v>33</v>
      </c>
      <c r="F54" s="696">
        <v>45808</v>
      </c>
      <c r="G54" s="696">
        <v>45825</v>
      </c>
      <c r="H54" s="696">
        <v>45835</v>
      </c>
      <c r="I54" s="697">
        <v>50000</v>
      </c>
      <c r="J54" s="697"/>
      <c r="K54" s="697"/>
      <c r="L54" s="697"/>
      <c r="M54" s="62"/>
      <c r="O54" s="708"/>
      <c r="V54" s="262"/>
      <c r="W54" s="255"/>
      <c r="AC54" s="262"/>
      <c r="AD54" s="82"/>
    </row>
    <row r="55" spans="1:30">
      <c r="A55" s="695" t="s">
        <v>3310</v>
      </c>
      <c r="B55" s="695" t="s">
        <v>30</v>
      </c>
      <c r="C55" s="695" t="s">
        <v>3309</v>
      </c>
      <c r="D55" s="695" t="s">
        <v>391</v>
      </c>
      <c r="E55" s="695" t="s">
        <v>33</v>
      </c>
      <c r="F55" s="696">
        <v>45808</v>
      </c>
      <c r="G55" s="696">
        <v>45825</v>
      </c>
      <c r="H55" s="696">
        <v>45835</v>
      </c>
      <c r="I55" s="697">
        <v>60000</v>
      </c>
      <c r="J55" s="697"/>
      <c r="K55" s="697"/>
      <c r="L55" s="697"/>
      <c r="M55" s="62"/>
      <c r="O55" s="708"/>
      <c r="V55" s="262"/>
      <c r="W55" s="255"/>
      <c r="AC55" s="262"/>
      <c r="AD55" s="82"/>
    </row>
    <row r="56" spans="1:30">
      <c r="A56" s="695" t="s">
        <v>3311</v>
      </c>
      <c r="B56" s="695" t="s">
        <v>174</v>
      </c>
      <c r="C56" s="695" t="s">
        <v>3309</v>
      </c>
      <c r="D56" s="695" t="s">
        <v>391</v>
      </c>
      <c r="E56" s="695" t="s">
        <v>33</v>
      </c>
      <c r="F56" s="696">
        <v>45808</v>
      </c>
      <c r="G56" s="696">
        <v>45825</v>
      </c>
      <c r="H56" s="696">
        <v>45835</v>
      </c>
      <c r="I56" s="697">
        <v>2604090.7000000002</v>
      </c>
      <c r="J56" s="697">
        <f>SUM(I54:I56)</f>
        <v>2714090.7</v>
      </c>
      <c r="K56" s="697">
        <v>721704</v>
      </c>
      <c r="L56" s="697">
        <f>+J56-K56</f>
        <v>1992386.7000000002</v>
      </c>
      <c r="M56" s="62"/>
      <c r="O56" s="708">
        <f t="shared" si="0"/>
        <v>1992386.7000000002</v>
      </c>
      <c r="V56" s="262"/>
      <c r="W56" s="255"/>
      <c r="AC56" s="262"/>
      <c r="AD56" s="82"/>
    </row>
    <row r="57" spans="1:30">
      <c r="A57" s="702" t="s">
        <v>3312</v>
      </c>
      <c r="B57" s="703" t="s">
        <v>1917</v>
      </c>
      <c r="C57" s="703" t="s">
        <v>3313</v>
      </c>
      <c r="D57" s="704" t="s">
        <v>38</v>
      </c>
      <c r="E57" s="703" t="s">
        <v>33</v>
      </c>
      <c r="F57" s="705">
        <v>45816</v>
      </c>
      <c r="G57" s="705">
        <v>45912</v>
      </c>
      <c r="H57" s="705">
        <v>45938</v>
      </c>
      <c r="I57" s="706">
        <v>20000</v>
      </c>
      <c r="J57" s="697"/>
      <c r="K57" s="697"/>
      <c r="L57" s="697"/>
      <c r="M57" s="62"/>
      <c r="O57" s="708"/>
      <c r="V57" s="262"/>
      <c r="W57" s="255"/>
      <c r="AC57" s="262"/>
      <c r="AD57" s="82"/>
    </row>
    <row r="58" spans="1:30">
      <c r="A58" s="702" t="s">
        <v>3314</v>
      </c>
      <c r="B58" s="703" t="s">
        <v>23</v>
      </c>
      <c r="C58" s="703" t="s">
        <v>3313</v>
      </c>
      <c r="D58" s="704" t="s">
        <v>38</v>
      </c>
      <c r="E58" s="703" t="s">
        <v>33</v>
      </c>
      <c r="F58" s="705">
        <v>45816</v>
      </c>
      <c r="G58" s="705">
        <v>45912</v>
      </c>
      <c r="H58" s="705">
        <v>45938</v>
      </c>
      <c r="I58" s="706">
        <v>27474.560000000001</v>
      </c>
      <c r="J58" s="697"/>
      <c r="K58" s="697"/>
      <c r="L58" s="697"/>
      <c r="M58" s="62"/>
      <c r="O58" s="708"/>
      <c r="V58" s="262"/>
      <c r="W58" s="255"/>
      <c r="AC58" s="262"/>
      <c r="AD58" s="82"/>
    </row>
    <row r="59" spans="1:30">
      <c r="A59" s="702" t="s">
        <v>3315</v>
      </c>
      <c r="B59" s="703" t="s">
        <v>174</v>
      </c>
      <c r="C59" s="703" t="s">
        <v>3313</v>
      </c>
      <c r="D59" s="704" t="s">
        <v>38</v>
      </c>
      <c r="E59" s="703" t="s">
        <v>33</v>
      </c>
      <c r="F59" s="705">
        <v>45816</v>
      </c>
      <c r="G59" s="705">
        <v>45912</v>
      </c>
      <c r="H59" s="705">
        <v>45938</v>
      </c>
      <c r="I59" s="706">
        <v>1985311.41</v>
      </c>
      <c r="J59" s="697">
        <f>+I59+I58+I57</f>
        <v>2032785.97</v>
      </c>
      <c r="K59" s="697">
        <v>721704</v>
      </c>
      <c r="L59" s="697">
        <f>+J59-K59</f>
        <v>1311081.97</v>
      </c>
      <c r="M59" s="62"/>
      <c r="O59" s="708">
        <f t="shared" si="0"/>
        <v>1311081.97</v>
      </c>
      <c r="V59" s="262"/>
      <c r="W59" s="255"/>
      <c r="AC59" s="262"/>
      <c r="AD59" s="82"/>
    </row>
    <row r="60" spans="1:30">
      <c r="A60" s="695" t="s">
        <v>3316</v>
      </c>
      <c r="B60" s="695" t="s">
        <v>174</v>
      </c>
      <c r="C60" s="695" t="s">
        <v>3317</v>
      </c>
      <c r="D60" s="695" t="s">
        <v>25</v>
      </c>
      <c r="E60" s="695" t="s">
        <v>26</v>
      </c>
      <c r="F60" s="696">
        <v>45722</v>
      </c>
      <c r="G60" s="696">
        <v>45722</v>
      </c>
      <c r="H60" s="696">
        <v>45847</v>
      </c>
      <c r="I60" s="697">
        <v>1025000</v>
      </c>
      <c r="J60" s="697">
        <f>+I60</f>
        <v>1025000</v>
      </c>
      <c r="K60" s="697">
        <v>721704</v>
      </c>
      <c r="L60" s="697">
        <f>+J60-K60</f>
        <v>303296</v>
      </c>
      <c r="M60" s="62"/>
      <c r="O60" s="708">
        <f t="shared" si="0"/>
        <v>303296</v>
      </c>
      <c r="V60" s="262"/>
      <c r="W60" s="255"/>
      <c r="AC60" s="262"/>
      <c r="AD60" s="82"/>
    </row>
    <row r="61" spans="1:30">
      <c r="A61" s="695" t="s">
        <v>3318</v>
      </c>
      <c r="B61" s="695" t="s">
        <v>1917</v>
      </c>
      <c r="C61" s="695" t="s">
        <v>3319</v>
      </c>
      <c r="D61" s="695" t="s">
        <v>506</v>
      </c>
      <c r="E61" s="695" t="s">
        <v>33</v>
      </c>
      <c r="F61" s="696">
        <v>45725</v>
      </c>
      <c r="G61" s="696">
        <v>45821</v>
      </c>
      <c r="H61" s="696">
        <v>45835</v>
      </c>
      <c r="I61" s="697">
        <v>50000</v>
      </c>
      <c r="J61" s="697"/>
      <c r="K61" s="697"/>
      <c r="L61" s="697"/>
      <c r="M61" s="62"/>
      <c r="O61" s="708"/>
      <c r="V61" s="262"/>
      <c r="W61" s="255"/>
      <c r="AC61" s="262"/>
      <c r="AD61" s="82"/>
    </row>
    <row r="62" spans="1:30">
      <c r="A62" s="695" t="s">
        <v>3320</v>
      </c>
      <c r="B62" s="695" t="s">
        <v>93</v>
      </c>
      <c r="C62" s="695" t="s">
        <v>3319</v>
      </c>
      <c r="D62" s="695" t="s">
        <v>506</v>
      </c>
      <c r="E62" s="695" t="s">
        <v>33</v>
      </c>
      <c r="F62" s="696">
        <v>45735</v>
      </c>
      <c r="G62" s="696">
        <v>45821</v>
      </c>
      <c r="H62" s="696">
        <v>45835</v>
      </c>
      <c r="I62" s="697">
        <v>820000</v>
      </c>
      <c r="J62" s="697"/>
      <c r="K62" s="697"/>
      <c r="L62" s="697"/>
      <c r="M62" s="62"/>
      <c r="O62" s="708"/>
    </row>
    <row r="63" spans="1:30">
      <c r="A63" s="695" t="s">
        <v>3321</v>
      </c>
      <c r="B63" s="695" t="s">
        <v>23</v>
      </c>
      <c r="C63" s="695" t="s">
        <v>3319</v>
      </c>
      <c r="D63" s="695" t="s">
        <v>506</v>
      </c>
      <c r="E63" s="695" t="s">
        <v>33</v>
      </c>
      <c r="F63" s="696">
        <v>45735</v>
      </c>
      <c r="G63" s="696">
        <v>45821</v>
      </c>
      <c r="H63" s="696">
        <v>45835</v>
      </c>
      <c r="I63" s="697">
        <v>3029.42</v>
      </c>
      <c r="J63" s="697">
        <f>SUM(I61:I63)</f>
        <v>873029.42</v>
      </c>
      <c r="K63" s="697">
        <v>721704</v>
      </c>
      <c r="L63" s="697">
        <f>+J63-K63</f>
        <v>151325.42000000004</v>
      </c>
      <c r="M63" s="534"/>
      <c r="O63" s="708">
        <f t="shared" si="0"/>
        <v>151325.42000000004</v>
      </c>
    </row>
    <row r="64" spans="1:30">
      <c r="A64" s="695" t="s">
        <v>3322</v>
      </c>
      <c r="B64" s="695" t="s">
        <v>174</v>
      </c>
      <c r="C64" s="695" t="s">
        <v>3323</v>
      </c>
      <c r="D64" s="695" t="s">
        <v>38</v>
      </c>
      <c r="E64" s="695" t="s">
        <v>33</v>
      </c>
      <c r="F64" s="696">
        <v>45672</v>
      </c>
      <c r="G64" s="696">
        <v>45841</v>
      </c>
      <c r="H64" s="696">
        <v>45852</v>
      </c>
      <c r="I64" s="697">
        <v>953765.32</v>
      </c>
      <c r="J64" s="697"/>
      <c r="K64" s="697"/>
      <c r="L64" s="697"/>
      <c r="M64" s="534"/>
      <c r="O64" s="708"/>
    </row>
    <row r="65" spans="1:15">
      <c r="A65" s="695" t="s">
        <v>3324</v>
      </c>
      <c r="B65" s="695" t="s">
        <v>1917</v>
      </c>
      <c r="C65" s="695" t="s">
        <v>3323</v>
      </c>
      <c r="D65" s="695" t="s">
        <v>38</v>
      </c>
      <c r="E65" s="695" t="s">
        <v>33</v>
      </c>
      <c r="F65" s="696">
        <v>45672</v>
      </c>
      <c r="G65" s="696">
        <v>45841</v>
      </c>
      <c r="H65" s="696">
        <v>45926</v>
      </c>
      <c r="I65" s="697">
        <v>7000</v>
      </c>
      <c r="J65" s="697">
        <f>+I64+I65</f>
        <v>960765.32</v>
      </c>
      <c r="K65" s="697">
        <v>721704</v>
      </c>
      <c r="L65" s="697">
        <f>+J65-K65</f>
        <v>239061.31999999995</v>
      </c>
      <c r="M65" s="534"/>
      <c r="O65" s="708">
        <f t="shared" si="0"/>
        <v>239061.31999999995</v>
      </c>
    </row>
    <row r="66" spans="1:15">
      <c r="A66" s="695" t="s">
        <v>3325</v>
      </c>
      <c r="B66" s="695" t="s">
        <v>30</v>
      </c>
      <c r="C66" s="695" t="s">
        <v>3326</v>
      </c>
      <c r="D66" s="695" t="s">
        <v>3327</v>
      </c>
      <c r="E66" s="695" t="s">
        <v>33</v>
      </c>
      <c r="F66" s="696">
        <v>45794</v>
      </c>
      <c r="G66" s="696">
        <v>45881</v>
      </c>
      <c r="H66" s="696">
        <v>45888</v>
      </c>
      <c r="I66" s="697">
        <v>60000</v>
      </c>
      <c r="J66" s="697"/>
      <c r="K66" s="697"/>
      <c r="L66" s="697"/>
      <c r="M66" s="534"/>
      <c r="O66" s="708"/>
    </row>
    <row r="67" spans="1:15">
      <c r="A67" s="695" t="s">
        <v>3328</v>
      </c>
      <c r="B67" s="695" t="s">
        <v>174</v>
      </c>
      <c r="C67" s="695" t="s">
        <v>3326</v>
      </c>
      <c r="D67" s="695" t="s">
        <v>3327</v>
      </c>
      <c r="E67" s="695" t="s">
        <v>33</v>
      </c>
      <c r="F67" s="696">
        <v>45794</v>
      </c>
      <c r="G67" s="696">
        <v>45881</v>
      </c>
      <c r="H67" s="696">
        <v>45888</v>
      </c>
      <c r="I67" s="697">
        <v>1804031.57</v>
      </c>
      <c r="J67" s="697">
        <f>SUM(I66:I67)</f>
        <v>1864031.57</v>
      </c>
      <c r="K67" s="697">
        <v>721704</v>
      </c>
      <c r="L67" s="697">
        <f>+J67-K67</f>
        <v>1142327.57</v>
      </c>
      <c r="M67" s="534"/>
      <c r="O67" s="708">
        <f t="shared" si="0"/>
        <v>1142327.57</v>
      </c>
    </row>
    <row r="68" spans="1:15">
      <c r="A68" s="695" t="s">
        <v>3329</v>
      </c>
      <c r="B68" s="695" t="s">
        <v>23</v>
      </c>
      <c r="C68" s="695" t="s">
        <v>3330</v>
      </c>
      <c r="D68" s="695" t="s">
        <v>606</v>
      </c>
      <c r="E68" s="695" t="s">
        <v>33</v>
      </c>
      <c r="F68" s="696">
        <v>45686</v>
      </c>
      <c r="G68" s="696">
        <v>45702</v>
      </c>
      <c r="H68" s="696">
        <v>45771</v>
      </c>
      <c r="I68" s="697">
        <v>150646.07</v>
      </c>
      <c r="J68" s="697"/>
      <c r="K68" s="697"/>
      <c r="L68" s="697"/>
      <c r="M68" s="534"/>
      <c r="O68" s="708"/>
    </row>
    <row r="69" spans="1:15">
      <c r="A69" s="695" t="s">
        <v>3331</v>
      </c>
      <c r="B69" s="695" t="s">
        <v>174</v>
      </c>
      <c r="C69" s="695" t="s">
        <v>3330</v>
      </c>
      <c r="D69" s="695" t="s">
        <v>606</v>
      </c>
      <c r="E69" s="695" t="s">
        <v>33</v>
      </c>
      <c r="F69" s="696">
        <v>45686</v>
      </c>
      <c r="G69" s="696">
        <v>45702</v>
      </c>
      <c r="H69" s="696">
        <v>45771</v>
      </c>
      <c r="I69" s="697">
        <v>2717000</v>
      </c>
      <c r="J69" s="697">
        <f>SUM(I68:I69)</f>
        <v>2867646.07</v>
      </c>
      <c r="K69" s="697">
        <v>721704</v>
      </c>
      <c r="L69" s="697">
        <f>+J69-K69</f>
        <v>2145942.0699999998</v>
      </c>
      <c r="M69" s="534"/>
      <c r="O69" s="708">
        <f t="shared" si="0"/>
        <v>2145942.0699999998</v>
      </c>
    </row>
    <row r="70" spans="1:15">
      <c r="A70" s="695" t="s">
        <v>3332</v>
      </c>
      <c r="B70" s="695" t="s">
        <v>23</v>
      </c>
      <c r="C70" s="695" t="s">
        <v>3333</v>
      </c>
      <c r="D70" s="695" t="s">
        <v>2057</v>
      </c>
      <c r="E70" s="695" t="s">
        <v>33</v>
      </c>
      <c r="F70" s="696">
        <v>45680</v>
      </c>
      <c r="G70" s="696">
        <v>45757</v>
      </c>
      <c r="H70" s="696">
        <v>45822</v>
      </c>
      <c r="I70" s="697">
        <v>165000</v>
      </c>
      <c r="J70" s="697"/>
      <c r="K70" s="697"/>
      <c r="L70" s="697"/>
      <c r="M70" s="534"/>
      <c r="O70" s="708"/>
    </row>
    <row r="71" spans="1:15">
      <c r="A71" s="695" t="s">
        <v>3334</v>
      </c>
      <c r="B71" s="695" t="s">
        <v>174</v>
      </c>
      <c r="C71" s="695" t="s">
        <v>3333</v>
      </c>
      <c r="D71" s="695" t="s">
        <v>2057</v>
      </c>
      <c r="E71" s="695" t="s">
        <v>33</v>
      </c>
      <c r="F71" s="696">
        <v>45680</v>
      </c>
      <c r="G71" s="696">
        <v>45757</v>
      </c>
      <c r="H71" s="696">
        <v>45822</v>
      </c>
      <c r="I71" s="697">
        <v>810000</v>
      </c>
      <c r="J71" s="697">
        <f>SUM(I70:I71)</f>
        <v>975000</v>
      </c>
      <c r="K71" s="697">
        <v>721704</v>
      </c>
      <c r="L71" s="697">
        <f>+J71-K71</f>
        <v>253296</v>
      </c>
      <c r="M71" s="534"/>
      <c r="O71" s="708">
        <f t="shared" si="0"/>
        <v>253296</v>
      </c>
    </row>
    <row r="72" spans="1:15">
      <c r="A72" s="695" t="s">
        <v>3335</v>
      </c>
      <c r="B72" s="695" t="s">
        <v>23</v>
      </c>
      <c r="C72" s="695" t="s">
        <v>3336</v>
      </c>
      <c r="D72" s="695" t="s">
        <v>3337</v>
      </c>
      <c r="E72" s="695" t="s">
        <v>33</v>
      </c>
      <c r="F72" s="696">
        <v>45755</v>
      </c>
      <c r="G72" s="696">
        <v>45775</v>
      </c>
      <c r="H72" s="696">
        <v>45791</v>
      </c>
      <c r="I72" s="697">
        <v>20000</v>
      </c>
      <c r="J72" s="697"/>
      <c r="K72" s="697"/>
      <c r="L72" s="697"/>
      <c r="M72" s="534"/>
      <c r="O72" s="708"/>
    </row>
    <row r="73" spans="1:15">
      <c r="A73" s="695" t="s">
        <v>3338</v>
      </c>
      <c r="B73" s="695" t="s">
        <v>174</v>
      </c>
      <c r="C73" s="695" t="s">
        <v>3336</v>
      </c>
      <c r="D73" s="695" t="s">
        <v>3337</v>
      </c>
      <c r="E73" s="695" t="s">
        <v>33</v>
      </c>
      <c r="F73" s="696">
        <v>45755</v>
      </c>
      <c r="G73" s="696">
        <v>45775</v>
      </c>
      <c r="H73" s="696">
        <v>45791</v>
      </c>
      <c r="I73" s="697">
        <v>1003484.66</v>
      </c>
      <c r="J73" s="697"/>
      <c r="K73" s="697"/>
      <c r="L73" s="697"/>
      <c r="M73" s="534"/>
      <c r="O73" s="708"/>
    </row>
    <row r="74" spans="1:15">
      <c r="A74" s="695" t="s">
        <v>3339</v>
      </c>
      <c r="B74" s="695" t="s">
        <v>1917</v>
      </c>
      <c r="C74" s="695" t="s">
        <v>3336</v>
      </c>
      <c r="D74" s="695" t="s">
        <v>3337</v>
      </c>
      <c r="E74" s="695" t="s">
        <v>33</v>
      </c>
      <c r="F74" s="696">
        <v>45755</v>
      </c>
      <c r="G74" s="696">
        <v>45834</v>
      </c>
      <c r="H74" s="696">
        <v>45844</v>
      </c>
      <c r="I74" s="697">
        <v>20000</v>
      </c>
      <c r="J74" s="697">
        <f>SUM(I72:I74)</f>
        <v>1043484.66</v>
      </c>
      <c r="K74" s="697">
        <v>721704</v>
      </c>
      <c r="L74" s="697">
        <f>+J74-K74</f>
        <v>321780.66000000003</v>
      </c>
      <c r="M74" s="534"/>
      <c r="O74" s="708">
        <f t="shared" si="0"/>
        <v>321780.66000000003</v>
      </c>
    </row>
    <row r="75" spans="1:15">
      <c r="A75" s="695" t="s">
        <v>3340</v>
      </c>
      <c r="B75" s="695" t="s">
        <v>23</v>
      </c>
      <c r="C75" s="695" t="s">
        <v>3341</v>
      </c>
      <c r="D75" s="695" t="s">
        <v>750</v>
      </c>
      <c r="E75" s="695" t="s">
        <v>33</v>
      </c>
      <c r="F75" s="696">
        <v>45810</v>
      </c>
      <c r="G75" s="696">
        <v>45841</v>
      </c>
      <c r="H75" s="696">
        <v>45852</v>
      </c>
      <c r="I75" s="697">
        <v>54500</v>
      </c>
      <c r="J75" s="697"/>
      <c r="K75" s="697"/>
      <c r="L75" s="697"/>
      <c r="M75" s="534"/>
      <c r="O75" s="708"/>
    </row>
    <row r="76" spans="1:15">
      <c r="A76" s="695" t="s">
        <v>3342</v>
      </c>
      <c r="B76" s="695" t="s">
        <v>174</v>
      </c>
      <c r="C76" s="695" t="s">
        <v>3341</v>
      </c>
      <c r="D76" s="695" t="s">
        <v>750</v>
      </c>
      <c r="E76" s="695" t="s">
        <v>33</v>
      </c>
      <c r="F76" s="696">
        <v>45810</v>
      </c>
      <c r="G76" s="696">
        <v>45841</v>
      </c>
      <c r="H76" s="696">
        <v>45868</v>
      </c>
      <c r="I76" s="697">
        <v>1607449.21</v>
      </c>
      <c r="J76" s="697">
        <f>SUM(I75:I76)</f>
        <v>1661949.21</v>
      </c>
      <c r="K76" s="697">
        <v>721704</v>
      </c>
      <c r="L76" s="697">
        <f>+J76-K76</f>
        <v>940245.21</v>
      </c>
      <c r="M76" s="534"/>
      <c r="O76" s="708">
        <f t="shared" si="0"/>
        <v>940245.21</v>
      </c>
    </row>
    <row r="77" spans="1:15">
      <c r="A77" s="695" t="s">
        <v>3343</v>
      </c>
      <c r="B77" s="695" t="s">
        <v>1917</v>
      </c>
      <c r="C77" s="695" t="s">
        <v>3344</v>
      </c>
      <c r="D77" s="695" t="s">
        <v>3345</v>
      </c>
      <c r="E77" s="695" t="s">
        <v>33</v>
      </c>
      <c r="F77" s="696">
        <v>45710</v>
      </c>
      <c r="G77" s="696">
        <v>45742</v>
      </c>
      <c r="H77" s="696">
        <v>45762</v>
      </c>
      <c r="I77" s="697">
        <v>50000</v>
      </c>
      <c r="J77" s="697"/>
      <c r="K77" s="697"/>
      <c r="L77" s="697"/>
      <c r="M77" s="534"/>
      <c r="O77" s="708"/>
    </row>
    <row r="78" spans="1:15">
      <c r="A78" s="695" t="s">
        <v>3346</v>
      </c>
      <c r="B78" s="695" t="s">
        <v>30</v>
      </c>
      <c r="C78" s="695" t="s">
        <v>3344</v>
      </c>
      <c r="D78" s="695" t="s">
        <v>3345</v>
      </c>
      <c r="E78" s="695" t="s">
        <v>33</v>
      </c>
      <c r="F78" s="696">
        <v>45710</v>
      </c>
      <c r="G78" s="696">
        <v>45742</v>
      </c>
      <c r="H78" s="696">
        <v>45762</v>
      </c>
      <c r="I78" s="697">
        <v>60000</v>
      </c>
      <c r="J78" s="697"/>
      <c r="K78" s="697"/>
      <c r="L78" s="697"/>
      <c r="M78" s="534"/>
      <c r="O78" s="708"/>
    </row>
    <row r="79" spans="1:15">
      <c r="A79" s="695" t="s">
        <v>3347</v>
      </c>
      <c r="B79" s="695" t="s">
        <v>174</v>
      </c>
      <c r="C79" s="695" t="s">
        <v>3344</v>
      </c>
      <c r="D79" s="695" t="s">
        <v>3345</v>
      </c>
      <c r="E79" s="695" t="s">
        <v>33</v>
      </c>
      <c r="F79" s="696">
        <v>45710</v>
      </c>
      <c r="G79" s="696">
        <v>45742</v>
      </c>
      <c r="H79" s="696">
        <v>45762</v>
      </c>
      <c r="I79" s="697">
        <v>1744260.09</v>
      </c>
      <c r="J79" s="697"/>
      <c r="K79" s="697"/>
      <c r="L79" s="697"/>
      <c r="M79" s="534"/>
      <c r="O79" s="708"/>
    </row>
    <row r="80" spans="1:15">
      <c r="A80" s="695" t="s">
        <v>3347</v>
      </c>
      <c r="B80" s="695" t="s">
        <v>174</v>
      </c>
      <c r="C80" s="695" t="s">
        <v>3344</v>
      </c>
      <c r="D80" s="695" t="s">
        <v>3345</v>
      </c>
      <c r="E80" s="695" t="s">
        <v>33</v>
      </c>
      <c r="F80" s="696">
        <v>45710</v>
      </c>
      <c r="G80" s="696">
        <v>45742</v>
      </c>
      <c r="H80" s="696">
        <v>45825</v>
      </c>
      <c r="I80" s="697">
        <v>100000</v>
      </c>
      <c r="J80" s="697">
        <f>SUM(I77:I80)</f>
        <v>1954260.09</v>
      </c>
      <c r="K80" s="697">
        <v>721704</v>
      </c>
      <c r="L80" s="697">
        <f>+J80-K80</f>
        <v>1232556.0900000001</v>
      </c>
      <c r="M80" s="534"/>
      <c r="O80" s="708">
        <f t="shared" ref="O80:O87" si="1">IF($J80&gt;P$8,$J80-P$8,0)</f>
        <v>1232556.0900000001</v>
      </c>
    </row>
    <row r="81" spans="1:15">
      <c r="A81" s="695" t="s">
        <v>3348</v>
      </c>
      <c r="B81" s="695" t="s">
        <v>23</v>
      </c>
      <c r="C81" s="695" t="s">
        <v>3349</v>
      </c>
      <c r="D81" s="695" t="s">
        <v>1594</v>
      </c>
      <c r="E81" s="695" t="s">
        <v>33</v>
      </c>
      <c r="F81" s="696">
        <v>45702</v>
      </c>
      <c r="G81" s="696">
        <v>45730</v>
      </c>
      <c r="H81" s="696">
        <v>45742</v>
      </c>
      <c r="I81" s="697">
        <v>20000</v>
      </c>
      <c r="J81" s="697"/>
      <c r="K81" s="697"/>
      <c r="L81" s="697"/>
      <c r="M81" s="534"/>
      <c r="O81" s="708"/>
    </row>
    <row r="82" spans="1:15">
      <c r="A82" s="695" t="s">
        <v>3350</v>
      </c>
      <c r="B82" s="695" t="s">
        <v>174</v>
      </c>
      <c r="C82" s="695" t="s">
        <v>3349</v>
      </c>
      <c r="D82" s="695" t="s">
        <v>1594</v>
      </c>
      <c r="E82" s="695" t="s">
        <v>33</v>
      </c>
      <c r="F82" s="696">
        <v>45702</v>
      </c>
      <c r="G82" s="696">
        <v>45730</v>
      </c>
      <c r="H82" s="696">
        <v>45895</v>
      </c>
      <c r="I82" s="697">
        <v>810000</v>
      </c>
      <c r="J82" s="697"/>
      <c r="K82" s="697"/>
      <c r="L82" s="697"/>
      <c r="M82" s="534"/>
      <c r="O82" s="708"/>
    </row>
    <row r="83" spans="1:15">
      <c r="A83" s="695" t="s">
        <v>3351</v>
      </c>
      <c r="B83" s="695" t="s">
        <v>1917</v>
      </c>
      <c r="C83" s="695" t="s">
        <v>3349</v>
      </c>
      <c r="D83" s="695" t="s">
        <v>1594</v>
      </c>
      <c r="E83" s="695" t="s">
        <v>33</v>
      </c>
      <c r="F83" s="696">
        <v>45702</v>
      </c>
      <c r="G83" s="696">
        <v>45769</v>
      </c>
      <c r="H83" s="696">
        <v>45791</v>
      </c>
      <c r="I83" s="697">
        <v>20000</v>
      </c>
      <c r="J83" s="697">
        <f>SUM(I81:I83)</f>
        <v>850000</v>
      </c>
      <c r="K83" s="697">
        <v>721704</v>
      </c>
      <c r="L83" s="697">
        <f>+J83-K83</f>
        <v>128296</v>
      </c>
      <c r="M83" s="534"/>
      <c r="O83" s="708">
        <f t="shared" si="1"/>
        <v>128296</v>
      </c>
    </row>
    <row r="84" spans="1:15">
      <c r="A84" s="695" t="s">
        <v>3352</v>
      </c>
      <c r="B84" s="695" t="s">
        <v>1917</v>
      </c>
      <c r="C84" s="695" t="s">
        <v>3353</v>
      </c>
      <c r="D84" s="695" t="s">
        <v>1594</v>
      </c>
      <c r="E84" s="695" t="s">
        <v>33</v>
      </c>
      <c r="F84" s="696">
        <v>45673</v>
      </c>
      <c r="G84" s="696">
        <v>45755</v>
      </c>
      <c r="H84" s="696">
        <v>45806</v>
      </c>
      <c r="I84" s="697">
        <v>7000</v>
      </c>
      <c r="J84" s="697"/>
      <c r="K84" s="697"/>
      <c r="L84" s="697"/>
      <c r="M84" s="534"/>
      <c r="O84" s="708"/>
    </row>
    <row r="85" spans="1:15">
      <c r="A85" s="695" t="s">
        <v>3354</v>
      </c>
      <c r="B85" s="695" t="s">
        <v>23</v>
      </c>
      <c r="C85" s="695" t="s">
        <v>3353</v>
      </c>
      <c r="D85" s="695" t="s">
        <v>1594</v>
      </c>
      <c r="E85" s="695" t="s">
        <v>33</v>
      </c>
      <c r="F85" s="696">
        <v>45673</v>
      </c>
      <c r="G85" s="696">
        <v>45755</v>
      </c>
      <c r="H85" s="696">
        <v>45806</v>
      </c>
      <c r="I85" s="697">
        <v>24500</v>
      </c>
      <c r="J85" s="697"/>
      <c r="K85" s="697"/>
      <c r="L85" s="697"/>
      <c r="M85" s="534"/>
      <c r="O85" s="708"/>
    </row>
    <row r="86" spans="1:15">
      <c r="A86" s="695" t="s">
        <v>3355</v>
      </c>
      <c r="B86" s="695" t="s">
        <v>174</v>
      </c>
      <c r="C86" s="695" t="s">
        <v>3353</v>
      </c>
      <c r="D86" s="695" t="s">
        <v>1594</v>
      </c>
      <c r="E86" s="695" t="s">
        <v>33</v>
      </c>
      <c r="F86" s="696">
        <v>45673</v>
      </c>
      <c r="G86" s="696">
        <v>45755</v>
      </c>
      <c r="H86" s="696">
        <v>45898</v>
      </c>
      <c r="I86" s="697">
        <v>576921.09000000008</v>
      </c>
      <c r="J86" s="697"/>
      <c r="K86" s="697"/>
      <c r="L86" s="697"/>
      <c r="M86" s="534"/>
      <c r="O86" s="708"/>
    </row>
    <row r="87" spans="1:15">
      <c r="A87" s="695" t="s">
        <v>3356</v>
      </c>
      <c r="B87" s="695" t="s">
        <v>174</v>
      </c>
      <c r="C87" s="695" t="s">
        <v>3353</v>
      </c>
      <c r="D87" s="695" t="s">
        <v>1594</v>
      </c>
      <c r="E87" s="695" t="s">
        <v>33</v>
      </c>
      <c r="F87" s="696">
        <v>45673</v>
      </c>
      <c r="G87" s="696">
        <v>45755</v>
      </c>
      <c r="H87" s="696">
        <v>45806</v>
      </c>
      <c r="I87" s="697">
        <v>500000</v>
      </c>
      <c r="J87" s="697">
        <f>SUM(I84:I87)</f>
        <v>1108421.0900000001</v>
      </c>
      <c r="K87" s="697">
        <v>721704</v>
      </c>
      <c r="L87" s="697">
        <f>+J87-K87</f>
        <v>386717.09000000008</v>
      </c>
      <c r="M87" s="534"/>
      <c r="O87" s="708">
        <f t="shared" si="1"/>
        <v>386717.09000000008</v>
      </c>
    </row>
    <row r="88" spans="1:15" ht="15" thickBot="1">
      <c r="A88" s="597"/>
      <c r="B88" s="272"/>
      <c r="C88" s="273"/>
      <c r="D88" s="273"/>
      <c r="E88" s="272"/>
      <c r="F88" s="598"/>
      <c r="G88" s="598"/>
      <c r="H88" s="710"/>
      <c r="I88" s="711"/>
      <c r="J88" s="711"/>
      <c r="K88" s="711"/>
      <c r="L88" s="711"/>
      <c r="M88" s="712"/>
      <c r="O88" s="709"/>
    </row>
    <row r="89" spans="1:15" ht="15" thickBot="1">
      <c r="H89" s="523" t="s">
        <v>1941</v>
      </c>
      <c r="I89" s="713">
        <f>SUM(I10:I88)</f>
        <v>43021799.230000012</v>
      </c>
      <c r="J89" s="713">
        <f>SUM(J10:J88)</f>
        <v>43021799.230000004</v>
      </c>
      <c r="K89" s="713">
        <f>SUM(K10:K88)</f>
        <v>20207712</v>
      </c>
      <c r="L89" s="713">
        <f>SUM(L10:L88)</f>
        <v>22814087.23</v>
      </c>
      <c r="M89" s="524"/>
      <c r="O89" s="524">
        <f>SUM(O10:O87)</f>
        <v>22814087.23</v>
      </c>
    </row>
    <row r="90" spans="1:15">
      <c r="I90" s="83"/>
      <c r="J90" s="83"/>
      <c r="K90" s="83"/>
      <c r="L90" s="83"/>
    </row>
    <row r="91" spans="1:15">
      <c r="O91" s="266"/>
    </row>
    <row r="92" spans="1:15" ht="21.6" customHeight="1">
      <c r="O92" s="266"/>
    </row>
    <row r="93" spans="1:15" ht="21.6" customHeight="1">
      <c r="G93" s="83"/>
      <c r="O93" s="266"/>
    </row>
    <row r="94" spans="1:15" ht="21.6" customHeight="1">
      <c r="O94" s="266"/>
    </row>
    <row r="95" spans="1:15" ht="21.6" customHeight="1">
      <c r="O95" s="266"/>
    </row>
    <row r="96" spans="1:15" ht="21.6" customHeight="1">
      <c r="O96" s="266"/>
    </row>
    <row r="97" spans="15:15" ht="21.6" customHeight="1">
      <c r="O97" s="266"/>
    </row>
    <row r="98" spans="15:15" ht="21.6" customHeight="1">
      <c r="O98" s="266"/>
    </row>
    <row r="99" spans="15:15" ht="21.6" customHeight="1">
      <c r="O99" s="266"/>
    </row>
    <row r="100" spans="15:15" ht="21.6" customHeight="1"/>
  </sheetData>
  <autoFilter ref="A8:M58" xr:uid="{00000000-0009-0000-0000-00000F000000}"/>
  <mergeCells count="9">
    <mergeCell ref="A6:M6"/>
    <mergeCell ref="O6:P6"/>
    <mergeCell ref="A7:M7"/>
    <mergeCell ref="A2:B2"/>
    <mergeCell ref="A3:B3"/>
    <mergeCell ref="A4:B4"/>
    <mergeCell ref="C4:E4"/>
    <mergeCell ref="F4:M4"/>
    <mergeCell ref="A5:M5"/>
  </mergeCells>
  <dataValidations count="1">
    <dataValidation type="list" allowBlank="1" showInputMessage="1" showErrorMessage="1" sqref="B68:B87 B29:B30" xr:uid="{5461C2DB-AE1A-41BE-AC37-771167D4005A}">
      <formula1>#REF!</formula1>
    </dataValidation>
  </dataValidations>
  <pageMargins left="0.7" right="0.7" top="0.75" bottom="0.75" header="0.3" footer="0.3"/>
  <pageSetup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4:O88"/>
  <sheetViews>
    <sheetView showGridLines="0" topLeftCell="B22" zoomScaleNormal="100" workbookViewId="0">
      <selection activeCell="H37" sqref="H37"/>
    </sheetView>
  </sheetViews>
  <sheetFormatPr baseColWidth="10" defaultRowHeight="14.4"/>
  <cols>
    <col min="1" max="2" width="11.5546875" style="72"/>
    <col min="3" max="3" width="12.5546875" style="72" customWidth="1"/>
    <col min="4" max="4" width="19.6640625" style="72" bestFit="1" customWidth="1"/>
    <col min="5" max="5" width="24.88671875" style="72" bestFit="1" customWidth="1"/>
    <col min="6" max="6" width="29.88671875" style="72" customWidth="1"/>
    <col min="7" max="7" width="24.6640625" style="72" customWidth="1"/>
    <col min="8" max="8" width="27.44140625" style="72" bestFit="1" customWidth="1"/>
    <col min="9" max="9" width="27.33203125" style="72" hidden="1" customWidth="1"/>
    <col min="10" max="10" width="21.21875" style="72" bestFit="1" customWidth="1"/>
    <col min="11" max="11" width="20.88671875" style="72" bestFit="1" customWidth="1"/>
    <col min="12" max="12" width="11.5546875" style="72"/>
    <col min="13" max="16" width="0" style="72" hidden="1" customWidth="1"/>
    <col min="17" max="16384" width="11.5546875" style="72"/>
  </cols>
  <sheetData>
    <row r="4" spans="3:15">
      <c r="N4" s="72" t="s">
        <v>1052</v>
      </c>
    </row>
    <row r="5" spans="3:15">
      <c r="O5" s="72" t="s">
        <v>1053</v>
      </c>
    </row>
    <row r="8" spans="3:15">
      <c r="E8" s="610" t="s">
        <v>19</v>
      </c>
      <c r="F8" s="614">
        <f>G8*H8</f>
        <v>721704</v>
      </c>
      <c r="G8" s="72">
        <v>1000</v>
      </c>
      <c r="H8" s="614">
        <v>721.70399999999995</v>
      </c>
    </row>
    <row r="10" spans="3:15">
      <c r="C10" s="808" t="s">
        <v>2229</v>
      </c>
      <c r="D10" s="808"/>
      <c r="E10" s="808"/>
      <c r="F10" s="808"/>
      <c r="G10" s="808"/>
      <c r="H10" s="808"/>
      <c r="I10" s="808"/>
      <c r="J10" s="808"/>
    </row>
    <row r="11" spans="3:15">
      <c r="H11" s="72">
        <v>100</v>
      </c>
      <c r="J11" s="615">
        <v>80</v>
      </c>
    </row>
    <row r="12" spans="3:15">
      <c r="C12" s="604" t="s">
        <v>1054</v>
      </c>
      <c r="D12" s="604" t="s">
        <v>1055</v>
      </c>
      <c r="E12" s="604" t="s">
        <v>1056</v>
      </c>
      <c r="F12" s="604" t="s">
        <v>1057</v>
      </c>
      <c r="G12" s="604" t="s">
        <v>1058</v>
      </c>
      <c r="H12" s="604" t="s">
        <v>1059</v>
      </c>
      <c r="I12" s="604" t="s">
        <v>1060</v>
      </c>
      <c r="J12" s="604" t="s">
        <v>1061</v>
      </c>
      <c r="K12" s="610" t="s">
        <v>1089</v>
      </c>
    </row>
    <row r="13" spans="3:15">
      <c r="C13" s="249">
        <v>2011</v>
      </c>
      <c r="D13" s="605">
        <f>'SINIESTROS AÑO 2011'!O231</f>
        <v>4894684.5600000005</v>
      </c>
      <c r="E13" s="605">
        <f t="shared" ref="E13:E27" si="0">D13*K13</f>
        <v>9069730.9547967259</v>
      </c>
      <c r="F13" s="605">
        <v>77721992.099999994</v>
      </c>
      <c r="G13" s="609">
        <f t="shared" ref="G13:G28" si="1">+E13/F13</f>
        <v>0.116694525059616</v>
      </c>
      <c r="H13" s="606">
        <f>H$11/$J$11</f>
        <v>1.25</v>
      </c>
      <c r="I13" s="606">
        <v>0.3</v>
      </c>
      <c r="J13" s="609">
        <f t="shared" ref="J13:J22" si="2">+G13*H13</f>
        <v>0.14586815632451999</v>
      </c>
      <c r="K13" s="613">
        <f>IPC!O44</f>
        <v>1.8529755786339632</v>
      </c>
      <c r="L13" s="86"/>
    </row>
    <row r="14" spans="3:15">
      <c r="C14" s="249">
        <v>2012</v>
      </c>
      <c r="D14" s="605">
        <f>'SINIESTROS AÑO 2012'!O247</f>
        <v>1461079.2999999998</v>
      </c>
      <c r="E14" s="605">
        <f t="shared" si="0"/>
        <v>2573614.4629333881</v>
      </c>
      <c r="F14" s="605">
        <v>94212727.254999995</v>
      </c>
      <c r="G14" s="609">
        <f t="shared" si="1"/>
        <v>2.7317057237580423E-2</v>
      </c>
      <c r="H14" s="606">
        <f t="shared" ref="H14:H18" si="3">H$11/$J$11</f>
        <v>1.25</v>
      </c>
      <c r="I14" s="606">
        <v>0.2</v>
      </c>
      <c r="J14" s="609">
        <f t="shared" si="2"/>
        <v>3.4146321546975528E-2</v>
      </c>
      <c r="K14" s="613">
        <f>IPC!O45</f>
        <v>1.7614474881229158</v>
      </c>
      <c r="L14" s="86"/>
    </row>
    <row r="15" spans="3:15">
      <c r="C15" s="249">
        <v>2013</v>
      </c>
      <c r="D15" s="607">
        <f>'SINIESTROS AÑO 2013'!O156</f>
        <v>2527509.71</v>
      </c>
      <c r="E15" s="605">
        <f t="shared" si="0"/>
        <v>4233544.3471654234</v>
      </c>
      <c r="F15" s="605">
        <v>112974388.85999998</v>
      </c>
      <c r="G15" s="609">
        <f t="shared" si="1"/>
        <v>3.7473487485838161E-2</v>
      </c>
      <c r="H15" s="606">
        <f t="shared" si="3"/>
        <v>1.25</v>
      </c>
      <c r="I15" s="606">
        <v>0.1</v>
      </c>
      <c r="J15" s="609">
        <f t="shared" si="2"/>
        <v>4.6841859357297705E-2</v>
      </c>
      <c r="K15" s="613">
        <f>IPC!O46</f>
        <v>1.6749863830059919</v>
      </c>
      <c r="L15" s="86"/>
    </row>
    <row r="16" spans="3:15">
      <c r="C16" s="249">
        <v>2014</v>
      </c>
      <c r="D16" s="607">
        <f>+'SINIESTROS AÑO 2014'!O107</f>
        <v>580146.98</v>
      </c>
      <c r="E16" s="605">
        <f t="shared" si="0"/>
        <v>915617.79436179216</v>
      </c>
      <c r="F16" s="605">
        <v>136492425.12432709</v>
      </c>
      <c r="G16" s="609">
        <f t="shared" si="1"/>
        <v>6.7081949311676584E-3</v>
      </c>
      <c r="H16" s="606">
        <f t="shared" si="3"/>
        <v>1.25</v>
      </c>
      <c r="I16" s="606"/>
      <c r="J16" s="609">
        <f t="shared" si="2"/>
        <v>8.3852436639595736E-3</v>
      </c>
      <c r="K16" s="613">
        <f>IPC!O47</f>
        <v>1.5782514189107597</v>
      </c>
      <c r="L16" s="86"/>
    </row>
    <row r="17" spans="3:12">
      <c r="C17" s="249">
        <v>2015</v>
      </c>
      <c r="D17" s="607">
        <f>'SINIESTROS AÑO 2015'!O111</f>
        <v>5427896.5700000003</v>
      </c>
      <c r="E17" s="605">
        <f t="shared" si="0"/>
        <v>8304348.1675873613</v>
      </c>
      <c r="F17" s="605">
        <v>162594167.79500002</v>
      </c>
      <c r="G17" s="609">
        <f t="shared" si="1"/>
        <v>5.1074083899845336E-2</v>
      </c>
      <c r="H17" s="606">
        <f t="shared" si="3"/>
        <v>1.25</v>
      </c>
      <c r="I17" s="606"/>
      <c r="J17" s="609">
        <f t="shared" si="2"/>
        <v>6.3842604874806669E-2</v>
      </c>
      <c r="K17" s="613">
        <f>IPC!O48</f>
        <v>1.5299385425812122</v>
      </c>
      <c r="L17" s="86"/>
    </row>
    <row r="18" spans="3:12">
      <c r="C18" s="249">
        <v>2016</v>
      </c>
      <c r="D18" s="607">
        <f>'SINIESTROS AÑO 2016'!O156</f>
        <v>12779825.549999999</v>
      </c>
      <c r="E18" s="605">
        <f t="shared" si="0"/>
        <v>19033751.747896072</v>
      </c>
      <c r="F18" s="605">
        <v>177922793.92699996</v>
      </c>
      <c r="G18" s="609">
        <f t="shared" si="1"/>
        <v>0.1069775902670764</v>
      </c>
      <c r="H18" s="606">
        <f t="shared" si="3"/>
        <v>1.25</v>
      </c>
      <c r="I18" s="606"/>
      <c r="J18" s="609">
        <f t="shared" si="2"/>
        <v>0.13372198783384551</v>
      </c>
      <c r="K18" s="613">
        <f>IPC!O49</f>
        <v>1.4893592775134612</v>
      </c>
      <c r="L18" s="86"/>
    </row>
    <row r="19" spans="3:12">
      <c r="C19" s="249">
        <v>2017</v>
      </c>
      <c r="D19" s="607">
        <f>'SINIESTROS AÑO 2017'!O95</f>
        <v>6009217.9499999993</v>
      </c>
      <c r="E19" s="605">
        <f t="shared" si="0"/>
        <v>8611093.0319088902</v>
      </c>
      <c r="F19" s="605">
        <v>140992986</v>
      </c>
      <c r="G19" s="609">
        <f t="shared" si="1"/>
        <v>6.10746199240641E-2</v>
      </c>
      <c r="H19" s="606">
        <f>H$11/$J$11</f>
        <v>1.25</v>
      </c>
      <c r="I19" s="606"/>
      <c r="J19" s="609">
        <f t="shared" si="2"/>
        <v>7.6343274905080125E-2</v>
      </c>
      <c r="K19" s="613">
        <f>IPC!O50</f>
        <v>1.4329806479907907</v>
      </c>
      <c r="L19" s="86"/>
    </row>
    <row r="20" spans="3:12">
      <c r="C20" s="249">
        <v>2018</v>
      </c>
      <c r="D20" s="607">
        <f>'SINIESTROS AÑO 2018'!O165</f>
        <v>15765471.700000001</v>
      </c>
      <c r="E20" s="605">
        <f t="shared" si="0"/>
        <v>21650397.434396353</v>
      </c>
      <c r="F20" s="605">
        <v>170102947.51999998</v>
      </c>
      <c r="G20" s="609">
        <f t="shared" si="1"/>
        <v>0.1272782027004605</v>
      </c>
      <c r="H20" s="606">
        <f>H$11/$J$11</f>
        <v>1.25</v>
      </c>
      <c r="I20" s="606"/>
      <c r="J20" s="609">
        <f t="shared" si="2"/>
        <v>0.15909775337557563</v>
      </c>
      <c r="K20" s="613">
        <f>IPC!O51</f>
        <v>1.373279394767259</v>
      </c>
    </row>
    <row r="21" spans="3:12">
      <c r="C21" s="249">
        <v>2019</v>
      </c>
      <c r="D21" s="607">
        <f>'SINIESTROS AÑO 2019'!O73</f>
        <v>8301508.379999999</v>
      </c>
      <c r="E21" s="605">
        <f t="shared" si="0"/>
        <v>10923389.254710296</v>
      </c>
      <c r="F21" s="605">
        <v>228763837.45000005</v>
      </c>
      <c r="G21" s="609">
        <f t="shared" si="1"/>
        <v>4.7749632881105064E-2</v>
      </c>
      <c r="H21" s="606">
        <f>H$11/$J$11</f>
        <v>1.25</v>
      </c>
      <c r="I21" s="606"/>
      <c r="J21" s="609">
        <f t="shared" si="2"/>
        <v>5.968704110138133E-2</v>
      </c>
      <c r="K21" s="613">
        <f>IPC!O52</f>
        <v>1.3158318650893535</v>
      </c>
    </row>
    <row r="22" spans="3:12">
      <c r="C22" s="625">
        <v>2020</v>
      </c>
      <c r="D22" s="616">
        <f>'SINIESTROS 2020'!O164</f>
        <v>26002519.599999998</v>
      </c>
      <c r="E22" s="617">
        <f t="shared" si="0"/>
        <v>33068009.138094783</v>
      </c>
      <c r="F22" s="617">
        <v>273938559.24000001</v>
      </c>
      <c r="G22" s="618">
        <f t="shared" si="1"/>
        <v>0.12071323303238814</v>
      </c>
      <c r="H22" s="619">
        <f>H$11/$J$11</f>
        <v>1.25</v>
      </c>
      <c r="I22" s="619"/>
      <c r="J22" s="618">
        <f t="shared" si="2"/>
        <v>0.15089154129048518</v>
      </c>
      <c r="K22" s="613">
        <f>IPC!O53</f>
        <v>1.2717232655444199</v>
      </c>
    </row>
    <row r="23" spans="3:12">
      <c r="C23" s="625">
        <v>2021</v>
      </c>
      <c r="D23" s="616">
        <f>'SINIESTROS 2021'!O101</f>
        <v>30934977.90000001</v>
      </c>
      <c r="E23" s="617">
        <f t="shared" si="0"/>
        <v>37653522.110738084</v>
      </c>
      <c r="F23" s="617">
        <v>354396850.01999998</v>
      </c>
      <c r="G23" s="618">
        <f t="shared" si="1"/>
        <v>0.10624677422672676</v>
      </c>
      <c r="H23" s="619">
        <f t="shared" ref="H23:H27" si="4">H$11/$J$11</f>
        <v>1.25</v>
      </c>
      <c r="I23" s="619"/>
      <c r="J23" s="618">
        <f t="shared" ref="J23:J24" si="5">+G23*H23</f>
        <v>0.13280846778340846</v>
      </c>
      <c r="K23" s="613">
        <f>IPC!O54</f>
        <v>1.2171827706635625</v>
      </c>
    </row>
    <row r="24" spans="3:12">
      <c r="C24" s="625">
        <v>2022</v>
      </c>
      <c r="D24" s="616">
        <f>'SINIESTROS 2022'!O174</f>
        <v>33888499.199999996</v>
      </c>
      <c r="E24" s="617">
        <f t="shared" si="0"/>
        <v>37811562.751901656</v>
      </c>
      <c r="F24" s="617">
        <v>466714933.44608998</v>
      </c>
      <c r="G24" s="618">
        <f t="shared" si="1"/>
        <v>8.1016397895631614E-2</v>
      </c>
      <c r="H24" s="619">
        <f t="shared" si="4"/>
        <v>1.25</v>
      </c>
      <c r="I24" s="619"/>
      <c r="J24" s="618">
        <f t="shared" si="5"/>
        <v>0.10127049736953952</v>
      </c>
      <c r="K24" s="613">
        <f>IPC!O55</f>
        <v>1.1157638622102706</v>
      </c>
    </row>
    <row r="25" spans="3:12">
      <c r="C25" s="625">
        <v>2023</v>
      </c>
      <c r="D25" s="616">
        <f>'SINIESTROS 2023'!O112</f>
        <v>21664771.629999995</v>
      </c>
      <c r="E25" s="617">
        <f t="shared" si="0"/>
        <v>22662696.719888344</v>
      </c>
      <c r="F25" s="617">
        <v>428339390.36000007</v>
      </c>
      <c r="G25" s="618">
        <f t="shared" si="1"/>
        <v>5.2908271407963114E-2</v>
      </c>
      <c r="H25" s="619">
        <f t="shared" si="4"/>
        <v>1.25</v>
      </c>
      <c r="I25" s="619"/>
      <c r="J25" s="618">
        <f>+G25*H25</f>
        <v>6.6135339259953893E-2</v>
      </c>
      <c r="K25" s="613">
        <f>IPC!O56</f>
        <v>1.0460621098127103</v>
      </c>
    </row>
    <row r="26" spans="3:12">
      <c r="C26" s="625">
        <v>2024</v>
      </c>
      <c r="D26" s="616">
        <f>'SINIESTROS 2024'!O141</f>
        <v>35441446.039999992</v>
      </c>
      <c r="E26" s="617">
        <f t="shared" si="0"/>
        <v>35441446.039999992</v>
      </c>
      <c r="F26" s="617">
        <v>395726409.16000003</v>
      </c>
      <c r="G26" s="618">
        <f t="shared" si="1"/>
        <v>8.9560477187334522E-2</v>
      </c>
      <c r="H26" s="619">
        <f t="shared" si="4"/>
        <v>1.25</v>
      </c>
      <c r="I26" s="619"/>
      <c r="J26" s="618">
        <f>+G26*H26</f>
        <v>0.11195059648416815</v>
      </c>
      <c r="K26" s="613">
        <f>IPC!O57</f>
        <v>1</v>
      </c>
    </row>
    <row r="27" spans="3:12">
      <c r="C27" s="625">
        <v>2025</v>
      </c>
      <c r="D27" s="616">
        <f>'SINIESTROS 2025'!O89</f>
        <v>22814087.23</v>
      </c>
      <c r="E27" s="617">
        <f t="shared" si="0"/>
        <v>22814087.23</v>
      </c>
      <c r="F27" s="617">
        <v>311689847.47664642</v>
      </c>
      <c r="G27" s="618">
        <f t="shared" si="1"/>
        <v>7.3194835875138226E-2</v>
      </c>
      <c r="H27" s="619">
        <f t="shared" si="4"/>
        <v>1.25</v>
      </c>
      <c r="I27" s="619"/>
      <c r="J27" s="618">
        <f>+G27*H27</f>
        <v>9.1493544843922775E-2</v>
      </c>
      <c r="K27" s="613">
        <f>IPC!O58</f>
        <v>1</v>
      </c>
    </row>
    <row r="28" spans="3:12">
      <c r="C28" s="610" t="s">
        <v>3472</v>
      </c>
      <c r="D28" s="611">
        <f>SUM(D23:D27)</f>
        <v>144743782</v>
      </c>
      <c r="E28" s="611">
        <f>SUM(E23:E27)</f>
        <v>156383314.85252807</v>
      </c>
      <c r="F28" s="611">
        <f>SUM(F23:F27)</f>
        <v>1956867430.4627366</v>
      </c>
      <c r="G28" s="620">
        <f t="shared" si="1"/>
        <v>7.9915129874458798E-2</v>
      </c>
      <c r="H28" s="606">
        <f>H$11/$J$11</f>
        <v>1.25</v>
      </c>
      <c r="I28" s="612"/>
      <c r="J28" s="620">
        <f>+G28*H28</f>
        <v>9.9893912343073502E-2</v>
      </c>
    </row>
    <row r="29" spans="3:12" ht="15" thickBot="1"/>
    <row r="30" spans="3:12">
      <c r="F30" s="82"/>
      <c r="H30" s="657" t="s">
        <v>2231</v>
      </c>
      <c r="I30" s="660"/>
      <c r="J30" s="661">
        <f>J28</f>
        <v>9.9893912343073502E-2</v>
      </c>
    </row>
    <row r="31" spans="3:12">
      <c r="F31" s="83"/>
      <c r="H31" s="658" t="s">
        <v>3237</v>
      </c>
      <c r="J31" s="662">
        <f>J28/2</f>
        <v>4.9946956171536751E-2</v>
      </c>
    </row>
    <row r="32" spans="3:12" ht="15" thickBot="1">
      <c r="H32" s="659" t="s">
        <v>3238</v>
      </c>
      <c r="I32" s="663"/>
      <c r="J32" s="664">
        <f>J28*1.5</f>
        <v>0.14984086851461026</v>
      </c>
    </row>
    <row r="34" spans="6:11">
      <c r="J34" s="610">
        <v>2025</v>
      </c>
    </row>
    <row r="35" spans="6:11">
      <c r="J35" s="738">
        <v>3.7600000000000001E-2</v>
      </c>
      <c r="K35" s="86">
        <f>J31-J35</f>
        <v>1.2346956171536749E-2</v>
      </c>
    </row>
    <row r="36" spans="6:11">
      <c r="G36" s="608"/>
      <c r="J36" s="738">
        <v>0.1069</v>
      </c>
      <c r="K36" s="86">
        <f>J32-J36</f>
        <v>4.2940868514610264E-2</v>
      </c>
    </row>
    <row r="38" spans="6:11">
      <c r="J38" s="612">
        <v>2026</v>
      </c>
    </row>
    <row r="39" spans="6:11">
      <c r="F39" s="82"/>
      <c r="J39" s="72" t="s">
        <v>3476</v>
      </c>
    </row>
    <row r="40" spans="6:11">
      <c r="F40" s="82"/>
      <c r="J40" s="86">
        <v>3.95E-2</v>
      </c>
    </row>
    <row r="41" spans="6:11">
      <c r="F41" s="99"/>
      <c r="J41" s="86">
        <v>0.1336</v>
      </c>
    </row>
    <row r="42" spans="6:11">
      <c r="J42" s="72" t="s">
        <v>3477</v>
      </c>
    </row>
    <row r="43" spans="6:11">
      <c r="J43" s="86">
        <v>3.95E-2</v>
      </c>
    </row>
    <row r="44" spans="6:11">
      <c r="J44" s="86">
        <v>0.1389</v>
      </c>
    </row>
    <row r="65" spans="3:11" s="621" customFormat="1"/>
    <row r="66" spans="3:11" s="621" customFormat="1">
      <c r="E66" s="622">
        <v>1563798.786885947</v>
      </c>
    </row>
    <row r="67" spans="3:11" s="621" customFormat="1">
      <c r="E67" s="622">
        <v>8182341.710985194</v>
      </c>
    </row>
    <row r="68" spans="3:11" s="621" customFormat="1">
      <c r="E68" s="622">
        <v>3389373.7003625375</v>
      </c>
    </row>
    <row r="69" spans="3:11" s="621" customFormat="1">
      <c r="E69" s="622">
        <v>6456069.0339653306</v>
      </c>
    </row>
    <row r="70" spans="3:11" s="621" customFormat="1">
      <c r="E70" s="622">
        <v>3045031.0314013679</v>
      </c>
    </row>
    <row r="71" spans="3:11" s="621" customFormat="1">
      <c r="E71" s="622">
        <v>8976403.151229484</v>
      </c>
    </row>
    <row r="72" spans="3:11" s="621" customFormat="1">
      <c r="E72" s="622">
        <v>16088474.612999996</v>
      </c>
    </row>
    <row r="73" spans="3:11" s="621" customFormat="1">
      <c r="E73" s="622">
        <v>7842703.5399999991</v>
      </c>
    </row>
    <row r="74" spans="3:11" s="621" customFormat="1">
      <c r="E74" s="622">
        <v>46137693.240943916</v>
      </c>
    </row>
    <row r="75" spans="3:11" s="621" customFormat="1"/>
    <row r="76" spans="3:11" s="621" customFormat="1">
      <c r="C76" s="621" t="s">
        <v>1062</v>
      </c>
      <c r="D76" s="621">
        <v>2007</v>
      </c>
      <c r="E76" s="621">
        <v>2008</v>
      </c>
      <c r="F76" s="621">
        <v>2009</v>
      </c>
      <c r="G76" s="621">
        <v>2010</v>
      </c>
      <c r="H76" s="621">
        <v>2011</v>
      </c>
      <c r="I76" s="621">
        <v>2012</v>
      </c>
      <c r="J76" s="621" t="s">
        <v>1063</v>
      </c>
      <c r="K76" s="621" t="s">
        <v>1064</v>
      </c>
    </row>
    <row r="77" spans="3:11" s="621" customFormat="1">
      <c r="C77" s="623" t="s">
        <v>260</v>
      </c>
      <c r="D77" s="624">
        <v>358329.22999999992</v>
      </c>
      <c r="E77" s="624">
        <v>378646.5</v>
      </c>
      <c r="F77" s="624">
        <v>372331.33</v>
      </c>
      <c r="G77" s="624">
        <v>396479.8</v>
      </c>
      <c r="H77" s="624">
        <v>375147.47</v>
      </c>
      <c r="I77" s="624">
        <v>99755.479999999981</v>
      </c>
      <c r="J77" s="624">
        <f>SUM(D77:H77)</f>
        <v>1880934.33</v>
      </c>
      <c r="K77" s="624">
        <f>SUM(D77:I77)</f>
        <v>1980689.81</v>
      </c>
    </row>
    <row r="78" spans="3:11" s="621" customFormat="1">
      <c r="C78" s="623" t="s">
        <v>30</v>
      </c>
      <c r="D78" s="624">
        <v>14087928.939999998</v>
      </c>
      <c r="E78" s="624">
        <v>16372725.180000003</v>
      </c>
      <c r="F78" s="624">
        <v>18167160.799999997</v>
      </c>
      <c r="G78" s="624">
        <v>22818912.245999992</v>
      </c>
      <c r="H78" s="624">
        <v>25645740.630000003</v>
      </c>
      <c r="I78" s="624">
        <v>20531899.690000001</v>
      </c>
      <c r="J78" s="624">
        <f t="shared" ref="J78:J86" si="6">SUM(D78:H78)</f>
        <v>97092467.796000004</v>
      </c>
      <c r="K78" s="624">
        <f t="shared" ref="K78:K86" si="7">SUM(D78:I78)</f>
        <v>117624367.486</v>
      </c>
    </row>
    <row r="79" spans="3:11" s="621" customFormat="1">
      <c r="C79" s="623" t="s">
        <v>958</v>
      </c>
      <c r="D79" s="624">
        <v>672064.87</v>
      </c>
      <c r="E79" s="624">
        <v>1064793.8</v>
      </c>
      <c r="F79" s="624">
        <v>822540.65000000014</v>
      </c>
      <c r="G79" s="624">
        <v>2759872.0500000003</v>
      </c>
      <c r="H79" s="624">
        <v>2676879.58</v>
      </c>
      <c r="I79" s="624">
        <v>1851253.85</v>
      </c>
      <c r="J79" s="624">
        <f t="shared" si="6"/>
        <v>7996150.9500000011</v>
      </c>
      <c r="K79" s="624">
        <f t="shared" si="7"/>
        <v>9847404.8000000007</v>
      </c>
    </row>
    <row r="80" spans="3:11" s="621" customFormat="1">
      <c r="C80" s="623" t="s">
        <v>93</v>
      </c>
      <c r="D80" s="624">
        <v>1161619.3799999997</v>
      </c>
      <c r="E80" s="624">
        <v>1390026.7700000003</v>
      </c>
      <c r="F80" s="624">
        <v>1554978.3049999999</v>
      </c>
      <c r="G80" s="624">
        <v>2205193.77</v>
      </c>
      <c r="H80" s="624">
        <v>2982291.48</v>
      </c>
      <c r="I80" s="624">
        <v>2270476.9999999995</v>
      </c>
      <c r="J80" s="624">
        <f t="shared" si="6"/>
        <v>9294109.7050000001</v>
      </c>
      <c r="K80" s="624">
        <f t="shared" si="7"/>
        <v>11564586.705</v>
      </c>
    </row>
    <row r="81" spans="3:11" s="621" customFormat="1">
      <c r="C81" s="623" t="s">
        <v>393</v>
      </c>
      <c r="D81" s="624">
        <v>307804.43000000005</v>
      </c>
      <c r="E81" s="624">
        <v>282363.7</v>
      </c>
      <c r="F81" s="624">
        <v>282956.8000000001</v>
      </c>
      <c r="G81" s="624">
        <v>284616.91999999993</v>
      </c>
      <c r="H81" s="624">
        <v>299605.96999999997</v>
      </c>
      <c r="I81" s="624">
        <v>286686.93</v>
      </c>
      <c r="J81" s="624">
        <f t="shared" si="6"/>
        <v>1457347.82</v>
      </c>
      <c r="K81" s="624">
        <f t="shared" si="7"/>
        <v>1744034.75</v>
      </c>
    </row>
    <row r="82" spans="3:11" s="621" customFormat="1">
      <c r="C82" s="623" t="s">
        <v>174</v>
      </c>
      <c r="D82" s="624">
        <v>18367690.569999997</v>
      </c>
      <c r="E82" s="624">
        <v>21935900.359999996</v>
      </c>
      <c r="F82" s="624">
        <v>22900106.109999999</v>
      </c>
      <c r="G82" s="624">
        <v>27315449.629999999</v>
      </c>
      <c r="H82" s="624">
        <v>37202289.969999999</v>
      </c>
      <c r="I82" s="624">
        <v>34790764.219999991</v>
      </c>
      <c r="J82" s="624">
        <f t="shared" si="6"/>
        <v>127721436.63999999</v>
      </c>
      <c r="K82" s="624">
        <f t="shared" si="7"/>
        <v>162512200.85999998</v>
      </c>
    </row>
    <row r="83" spans="3:11" s="621" customFormat="1">
      <c r="C83" s="623" t="s">
        <v>36</v>
      </c>
      <c r="D83" s="624">
        <v>4073717.29</v>
      </c>
      <c r="E83" s="624">
        <v>4418989.2600000007</v>
      </c>
      <c r="F83" s="624">
        <v>4575219.3</v>
      </c>
      <c r="G83" s="624">
        <v>4069444.6100000008</v>
      </c>
      <c r="H83" s="624">
        <v>5115570.47</v>
      </c>
      <c r="I83" s="624">
        <v>3975615.6499999994</v>
      </c>
      <c r="J83" s="624">
        <f t="shared" si="6"/>
        <v>22252940.93</v>
      </c>
      <c r="K83" s="624">
        <f t="shared" si="7"/>
        <v>26228556.579999998</v>
      </c>
    </row>
    <row r="84" spans="3:11" s="621" customFormat="1">
      <c r="C84" s="623" t="s">
        <v>245</v>
      </c>
      <c r="D84" s="624">
        <v>1906132.4799999997</v>
      </c>
      <c r="E84" s="624">
        <v>2340303.2599999998</v>
      </c>
      <c r="F84" s="624">
        <v>2878058.58</v>
      </c>
      <c r="G84" s="624">
        <v>3485993.4399999995</v>
      </c>
      <c r="H84" s="624">
        <v>3424466.5300000003</v>
      </c>
      <c r="I84" s="624">
        <v>2215311.2799999993</v>
      </c>
      <c r="J84" s="624">
        <f t="shared" si="6"/>
        <v>14034954.289999999</v>
      </c>
      <c r="K84" s="624">
        <f t="shared" si="7"/>
        <v>16250265.569999998</v>
      </c>
    </row>
    <row r="85" spans="3:11" s="621" customFormat="1">
      <c r="C85" s="623" t="s">
        <v>1065</v>
      </c>
      <c r="D85" s="624"/>
      <c r="E85" s="624"/>
      <c r="F85" s="624"/>
      <c r="G85" s="624"/>
      <c r="H85" s="624"/>
      <c r="I85" s="624">
        <v>41935</v>
      </c>
      <c r="J85" s="624">
        <f t="shared" si="6"/>
        <v>0</v>
      </c>
      <c r="K85" s="624">
        <f t="shared" si="7"/>
        <v>41935</v>
      </c>
    </row>
    <row r="86" spans="3:11" s="621" customFormat="1">
      <c r="C86" s="623" t="s">
        <v>1066</v>
      </c>
      <c r="D86" s="624">
        <v>42096906.569999993</v>
      </c>
      <c r="E86" s="624">
        <v>49573775.599999994</v>
      </c>
      <c r="F86" s="624">
        <v>53108330.179999992</v>
      </c>
      <c r="G86" s="624">
        <v>65541156.235999987</v>
      </c>
      <c r="H86" s="624">
        <v>80704283.579999998</v>
      </c>
      <c r="I86" s="624">
        <v>68334176.099999994</v>
      </c>
      <c r="J86" s="624">
        <f t="shared" si="6"/>
        <v>291024452.16599995</v>
      </c>
      <c r="K86" s="624">
        <f t="shared" si="7"/>
        <v>359358628.26599991</v>
      </c>
    </row>
    <row r="87" spans="3:11" s="621" customFormat="1"/>
    <row r="88" spans="3:11" s="621" customFormat="1"/>
  </sheetData>
  <mergeCells count="1">
    <mergeCell ref="C10:J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Spinner 2">
              <controlPr defaultSize="0" autoPict="0">
                <anchor moveWithCells="1" sizeWithCells="1">
                  <from>
                    <xdr:col>9</xdr:col>
                    <xdr:colOff>327660</xdr:colOff>
                    <xdr:row>7</xdr:row>
                    <xdr:rowOff>0</xdr:rowOff>
                  </from>
                  <to>
                    <xdr:col>9</xdr:col>
                    <xdr:colOff>609600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Spinner 3">
              <controlPr defaultSize="0" autoPict="0">
                <anchor moveWithCells="1" sizeWithCells="1">
                  <from>
                    <xdr:col>10</xdr:col>
                    <xdr:colOff>38100</xdr:colOff>
                    <xdr:row>9</xdr:row>
                    <xdr:rowOff>106680</xdr:rowOff>
                  </from>
                  <to>
                    <xdr:col>10</xdr:col>
                    <xdr:colOff>335280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BT61"/>
  <sheetViews>
    <sheetView showGridLines="0" zoomScale="90" zoomScaleNormal="90" workbookViewId="0">
      <pane ySplit="8" topLeftCell="A12" activePane="bottomLeft" state="frozen"/>
      <selection pane="bottomLeft" activeCell="N36" sqref="N36"/>
    </sheetView>
  </sheetViews>
  <sheetFormatPr baseColWidth="10" defaultRowHeight="13.8"/>
  <cols>
    <col min="1" max="1" width="1.6640625" style="626" customWidth="1"/>
    <col min="2" max="2" width="10.21875" style="626" bestFit="1" customWidth="1"/>
    <col min="3" max="14" width="6.44140625" style="626" bestFit="1" customWidth="1"/>
    <col min="15" max="15" width="5.88671875" style="626" customWidth="1"/>
    <col min="16" max="17" width="6.44140625" style="626" customWidth="1"/>
    <col min="18" max="18" width="6.21875" style="626" bestFit="1" customWidth="1"/>
    <col min="19" max="20" width="5" style="626" bestFit="1" customWidth="1"/>
    <col min="21" max="22" width="5.109375" style="626" bestFit="1" customWidth="1"/>
    <col min="23" max="26" width="5" style="626" bestFit="1" customWidth="1"/>
    <col min="27" max="27" width="5.109375" style="626" bestFit="1" customWidth="1"/>
    <col min="28" max="28" width="5" style="626" bestFit="1" customWidth="1"/>
    <col min="29" max="29" width="6.44140625" style="626" bestFit="1" customWidth="1"/>
    <col min="30" max="30" width="7.44140625" style="626" bestFit="1" customWidth="1"/>
    <col min="31" max="32" width="7.44140625" style="626" customWidth="1"/>
    <col min="33" max="33" width="11.6640625" style="626" bestFit="1" customWidth="1"/>
    <col min="34" max="38" width="7.77734375" style="626" bestFit="1" customWidth="1"/>
    <col min="39" max="39" width="8.21875" style="626" bestFit="1" customWidth="1"/>
    <col min="40" max="45" width="7.77734375" style="626" bestFit="1" customWidth="1"/>
    <col min="46" max="46" width="7.77734375" style="626" customWidth="1"/>
    <col min="47" max="47" width="7.88671875" style="626" bestFit="1" customWidth="1"/>
    <col min="48" max="280" width="11.44140625" style="626"/>
    <col min="281" max="281" width="1.6640625" style="626" customWidth="1"/>
    <col min="282" max="282" width="13.88671875" style="626" customWidth="1"/>
    <col min="283" max="286" width="9.44140625" style="626" customWidth="1"/>
    <col min="287" max="287" width="8.33203125" style="626" customWidth="1"/>
    <col min="288" max="288" width="9" style="626" customWidth="1"/>
    <col min="289" max="290" width="9.5546875" style="626" customWidth="1"/>
    <col min="291" max="293" width="11.33203125" style="626" customWidth="1"/>
    <col min="294" max="294" width="11.44140625" style="626" customWidth="1"/>
    <col min="295" max="295" width="1.6640625" style="626" customWidth="1"/>
    <col min="296" max="536" width="11.44140625" style="626"/>
    <col min="537" max="537" width="1.6640625" style="626" customWidth="1"/>
    <col min="538" max="538" width="13.88671875" style="626" customWidth="1"/>
    <col min="539" max="542" width="9.44140625" style="626" customWidth="1"/>
    <col min="543" max="543" width="8.33203125" style="626" customWidth="1"/>
    <col min="544" max="544" width="9" style="626" customWidth="1"/>
    <col min="545" max="546" width="9.5546875" style="626" customWidth="1"/>
    <col min="547" max="549" width="11.33203125" style="626" customWidth="1"/>
    <col min="550" max="550" width="11.44140625" style="626" customWidth="1"/>
    <col min="551" max="551" width="1.6640625" style="626" customWidth="1"/>
    <col min="552" max="792" width="11.44140625" style="626"/>
    <col min="793" max="793" width="1.6640625" style="626" customWidth="1"/>
    <col min="794" max="794" width="13.88671875" style="626" customWidth="1"/>
    <col min="795" max="798" width="9.44140625" style="626" customWidth="1"/>
    <col min="799" max="799" width="8.33203125" style="626" customWidth="1"/>
    <col min="800" max="800" width="9" style="626" customWidth="1"/>
    <col min="801" max="802" width="9.5546875" style="626" customWidth="1"/>
    <col min="803" max="805" width="11.33203125" style="626" customWidth="1"/>
    <col min="806" max="806" width="11.44140625" style="626" customWidth="1"/>
    <col min="807" max="807" width="1.6640625" style="626" customWidth="1"/>
    <col min="808" max="1048" width="11.44140625" style="626"/>
    <col min="1049" max="1049" width="1.6640625" style="626" customWidth="1"/>
    <col min="1050" max="1050" width="13.88671875" style="626" customWidth="1"/>
    <col min="1051" max="1054" width="9.44140625" style="626" customWidth="1"/>
    <col min="1055" max="1055" width="8.33203125" style="626" customWidth="1"/>
    <col min="1056" max="1056" width="9" style="626" customWidth="1"/>
    <col min="1057" max="1058" width="9.5546875" style="626" customWidth="1"/>
    <col min="1059" max="1061" width="11.33203125" style="626" customWidth="1"/>
    <col min="1062" max="1062" width="11.44140625" style="626" customWidth="1"/>
    <col min="1063" max="1063" width="1.6640625" style="626" customWidth="1"/>
    <col min="1064" max="1304" width="11.44140625" style="626"/>
    <col min="1305" max="1305" width="1.6640625" style="626" customWidth="1"/>
    <col min="1306" max="1306" width="13.88671875" style="626" customWidth="1"/>
    <col min="1307" max="1310" width="9.44140625" style="626" customWidth="1"/>
    <col min="1311" max="1311" width="8.33203125" style="626" customWidth="1"/>
    <col min="1312" max="1312" width="9" style="626" customWidth="1"/>
    <col min="1313" max="1314" width="9.5546875" style="626" customWidth="1"/>
    <col min="1315" max="1317" width="11.33203125" style="626" customWidth="1"/>
    <col min="1318" max="1318" width="11.44140625" style="626" customWidth="1"/>
    <col min="1319" max="1319" width="1.6640625" style="626" customWidth="1"/>
    <col min="1320" max="1560" width="11.44140625" style="626"/>
    <col min="1561" max="1561" width="1.6640625" style="626" customWidth="1"/>
    <col min="1562" max="1562" width="13.88671875" style="626" customWidth="1"/>
    <col min="1563" max="1566" width="9.44140625" style="626" customWidth="1"/>
    <col min="1567" max="1567" width="8.33203125" style="626" customWidth="1"/>
    <col min="1568" max="1568" width="9" style="626" customWidth="1"/>
    <col min="1569" max="1570" width="9.5546875" style="626" customWidth="1"/>
    <col min="1571" max="1573" width="11.33203125" style="626" customWidth="1"/>
    <col min="1574" max="1574" width="11.44140625" style="626" customWidth="1"/>
    <col min="1575" max="1575" width="1.6640625" style="626" customWidth="1"/>
    <col min="1576" max="1816" width="11.44140625" style="626"/>
    <col min="1817" max="1817" width="1.6640625" style="626" customWidth="1"/>
    <col min="1818" max="1818" width="13.88671875" style="626" customWidth="1"/>
    <col min="1819" max="1822" width="9.44140625" style="626" customWidth="1"/>
    <col min="1823" max="1823" width="8.33203125" style="626" customWidth="1"/>
    <col min="1824" max="1824" width="9" style="626" customWidth="1"/>
    <col min="1825" max="1826" width="9.5546875" style="626" customWidth="1"/>
    <col min="1827" max="1829" width="11.33203125" style="626" customWidth="1"/>
    <col min="1830" max="1830" width="11.44140625" style="626" customWidth="1"/>
    <col min="1831" max="1831" width="1.6640625" style="626" customWidth="1"/>
    <col min="1832" max="2072" width="11.44140625" style="626"/>
    <col min="2073" max="2073" width="1.6640625" style="626" customWidth="1"/>
    <col min="2074" max="2074" width="13.88671875" style="626" customWidth="1"/>
    <col min="2075" max="2078" width="9.44140625" style="626" customWidth="1"/>
    <col min="2079" max="2079" width="8.33203125" style="626" customWidth="1"/>
    <col min="2080" max="2080" width="9" style="626" customWidth="1"/>
    <col min="2081" max="2082" width="9.5546875" style="626" customWidth="1"/>
    <col min="2083" max="2085" width="11.33203125" style="626" customWidth="1"/>
    <col min="2086" max="2086" width="11.44140625" style="626" customWidth="1"/>
    <col min="2087" max="2087" width="1.6640625" style="626" customWidth="1"/>
    <col min="2088" max="2328" width="11.44140625" style="626"/>
    <col min="2329" max="2329" width="1.6640625" style="626" customWidth="1"/>
    <col min="2330" max="2330" width="13.88671875" style="626" customWidth="1"/>
    <col min="2331" max="2334" width="9.44140625" style="626" customWidth="1"/>
    <col min="2335" max="2335" width="8.33203125" style="626" customWidth="1"/>
    <col min="2336" max="2336" width="9" style="626" customWidth="1"/>
    <col min="2337" max="2338" width="9.5546875" style="626" customWidth="1"/>
    <col min="2339" max="2341" width="11.33203125" style="626" customWidth="1"/>
    <col min="2342" max="2342" width="11.44140625" style="626" customWidth="1"/>
    <col min="2343" max="2343" width="1.6640625" style="626" customWidth="1"/>
    <col min="2344" max="2584" width="11.44140625" style="626"/>
    <col min="2585" max="2585" width="1.6640625" style="626" customWidth="1"/>
    <col min="2586" max="2586" width="13.88671875" style="626" customWidth="1"/>
    <col min="2587" max="2590" width="9.44140625" style="626" customWidth="1"/>
    <col min="2591" max="2591" width="8.33203125" style="626" customWidth="1"/>
    <col min="2592" max="2592" width="9" style="626" customWidth="1"/>
    <col min="2593" max="2594" width="9.5546875" style="626" customWidth="1"/>
    <col min="2595" max="2597" width="11.33203125" style="626" customWidth="1"/>
    <col min="2598" max="2598" width="11.44140625" style="626" customWidth="1"/>
    <col min="2599" max="2599" width="1.6640625" style="626" customWidth="1"/>
    <col min="2600" max="2840" width="11.44140625" style="626"/>
    <col min="2841" max="2841" width="1.6640625" style="626" customWidth="1"/>
    <col min="2842" max="2842" width="13.88671875" style="626" customWidth="1"/>
    <col min="2843" max="2846" width="9.44140625" style="626" customWidth="1"/>
    <col min="2847" max="2847" width="8.33203125" style="626" customWidth="1"/>
    <col min="2848" max="2848" width="9" style="626" customWidth="1"/>
    <col min="2849" max="2850" width="9.5546875" style="626" customWidth="1"/>
    <col min="2851" max="2853" width="11.33203125" style="626" customWidth="1"/>
    <col min="2854" max="2854" width="11.44140625" style="626" customWidth="1"/>
    <col min="2855" max="2855" width="1.6640625" style="626" customWidth="1"/>
    <col min="2856" max="3096" width="11.44140625" style="626"/>
    <col min="3097" max="3097" width="1.6640625" style="626" customWidth="1"/>
    <col min="3098" max="3098" width="13.88671875" style="626" customWidth="1"/>
    <col min="3099" max="3102" width="9.44140625" style="626" customWidth="1"/>
    <col min="3103" max="3103" width="8.33203125" style="626" customWidth="1"/>
    <col min="3104" max="3104" width="9" style="626" customWidth="1"/>
    <col min="3105" max="3106" width="9.5546875" style="626" customWidth="1"/>
    <col min="3107" max="3109" width="11.33203125" style="626" customWidth="1"/>
    <col min="3110" max="3110" width="11.44140625" style="626" customWidth="1"/>
    <col min="3111" max="3111" width="1.6640625" style="626" customWidth="1"/>
    <col min="3112" max="3352" width="11.44140625" style="626"/>
    <col min="3353" max="3353" width="1.6640625" style="626" customWidth="1"/>
    <col min="3354" max="3354" width="13.88671875" style="626" customWidth="1"/>
    <col min="3355" max="3358" width="9.44140625" style="626" customWidth="1"/>
    <col min="3359" max="3359" width="8.33203125" style="626" customWidth="1"/>
    <col min="3360" max="3360" width="9" style="626" customWidth="1"/>
    <col min="3361" max="3362" width="9.5546875" style="626" customWidth="1"/>
    <col min="3363" max="3365" width="11.33203125" style="626" customWidth="1"/>
    <col min="3366" max="3366" width="11.44140625" style="626" customWidth="1"/>
    <col min="3367" max="3367" width="1.6640625" style="626" customWidth="1"/>
    <col min="3368" max="3608" width="11.44140625" style="626"/>
    <col min="3609" max="3609" width="1.6640625" style="626" customWidth="1"/>
    <col min="3610" max="3610" width="13.88671875" style="626" customWidth="1"/>
    <col min="3611" max="3614" width="9.44140625" style="626" customWidth="1"/>
    <col min="3615" max="3615" width="8.33203125" style="626" customWidth="1"/>
    <col min="3616" max="3616" width="9" style="626" customWidth="1"/>
    <col min="3617" max="3618" width="9.5546875" style="626" customWidth="1"/>
    <col min="3619" max="3621" width="11.33203125" style="626" customWidth="1"/>
    <col min="3622" max="3622" width="11.44140625" style="626" customWidth="1"/>
    <col min="3623" max="3623" width="1.6640625" style="626" customWidth="1"/>
    <col min="3624" max="3864" width="11.44140625" style="626"/>
    <col min="3865" max="3865" width="1.6640625" style="626" customWidth="1"/>
    <col min="3866" max="3866" width="13.88671875" style="626" customWidth="1"/>
    <col min="3867" max="3870" width="9.44140625" style="626" customWidth="1"/>
    <col min="3871" max="3871" width="8.33203125" style="626" customWidth="1"/>
    <col min="3872" max="3872" width="9" style="626" customWidth="1"/>
    <col min="3873" max="3874" width="9.5546875" style="626" customWidth="1"/>
    <col min="3875" max="3877" width="11.33203125" style="626" customWidth="1"/>
    <col min="3878" max="3878" width="11.44140625" style="626" customWidth="1"/>
    <col min="3879" max="3879" width="1.6640625" style="626" customWidth="1"/>
    <col min="3880" max="4120" width="11.44140625" style="626"/>
    <col min="4121" max="4121" width="1.6640625" style="626" customWidth="1"/>
    <col min="4122" max="4122" width="13.88671875" style="626" customWidth="1"/>
    <col min="4123" max="4126" width="9.44140625" style="626" customWidth="1"/>
    <col min="4127" max="4127" width="8.33203125" style="626" customWidth="1"/>
    <col min="4128" max="4128" width="9" style="626" customWidth="1"/>
    <col min="4129" max="4130" width="9.5546875" style="626" customWidth="1"/>
    <col min="4131" max="4133" width="11.33203125" style="626" customWidth="1"/>
    <col min="4134" max="4134" width="11.44140625" style="626" customWidth="1"/>
    <col min="4135" max="4135" width="1.6640625" style="626" customWidth="1"/>
    <col min="4136" max="4376" width="11.44140625" style="626"/>
    <col min="4377" max="4377" width="1.6640625" style="626" customWidth="1"/>
    <col min="4378" max="4378" width="13.88671875" style="626" customWidth="1"/>
    <col min="4379" max="4382" width="9.44140625" style="626" customWidth="1"/>
    <col min="4383" max="4383" width="8.33203125" style="626" customWidth="1"/>
    <col min="4384" max="4384" width="9" style="626" customWidth="1"/>
    <col min="4385" max="4386" width="9.5546875" style="626" customWidth="1"/>
    <col min="4387" max="4389" width="11.33203125" style="626" customWidth="1"/>
    <col min="4390" max="4390" width="11.44140625" style="626" customWidth="1"/>
    <col min="4391" max="4391" width="1.6640625" style="626" customWidth="1"/>
    <col min="4392" max="4632" width="11.44140625" style="626"/>
    <col min="4633" max="4633" width="1.6640625" style="626" customWidth="1"/>
    <col min="4634" max="4634" width="13.88671875" style="626" customWidth="1"/>
    <col min="4635" max="4638" width="9.44140625" style="626" customWidth="1"/>
    <col min="4639" max="4639" width="8.33203125" style="626" customWidth="1"/>
    <col min="4640" max="4640" width="9" style="626" customWidth="1"/>
    <col min="4641" max="4642" width="9.5546875" style="626" customWidth="1"/>
    <col min="4643" max="4645" width="11.33203125" style="626" customWidth="1"/>
    <col min="4646" max="4646" width="11.44140625" style="626" customWidth="1"/>
    <col min="4647" max="4647" width="1.6640625" style="626" customWidth="1"/>
    <col min="4648" max="4888" width="11.44140625" style="626"/>
    <col min="4889" max="4889" width="1.6640625" style="626" customWidth="1"/>
    <col min="4890" max="4890" width="13.88671875" style="626" customWidth="1"/>
    <col min="4891" max="4894" width="9.44140625" style="626" customWidth="1"/>
    <col min="4895" max="4895" width="8.33203125" style="626" customWidth="1"/>
    <col min="4896" max="4896" width="9" style="626" customWidth="1"/>
    <col min="4897" max="4898" width="9.5546875" style="626" customWidth="1"/>
    <col min="4899" max="4901" width="11.33203125" style="626" customWidth="1"/>
    <col min="4902" max="4902" width="11.44140625" style="626" customWidth="1"/>
    <col min="4903" max="4903" width="1.6640625" style="626" customWidth="1"/>
    <col min="4904" max="5144" width="11.44140625" style="626"/>
    <col min="5145" max="5145" width="1.6640625" style="626" customWidth="1"/>
    <col min="5146" max="5146" width="13.88671875" style="626" customWidth="1"/>
    <col min="5147" max="5150" width="9.44140625" style="626" customWidth="1"/>
    <col min="5151" max="5151" width="8.33203125" style="626" customWidth="1"/>
    <col min="5152" max="5152" width="9" style="626" customWidth="1"/>
    <col min="5153" max="5154" width="9.5546875" style="626" customWidth="1"/>
    <col min="5155" max="5157" width="11.33203125" style="626" customWidth="1"/>
    <col min="5158" max="5158" width="11.44140625" style="626" customWidth="1"/>
    <col min="5159" max="5159" width="1.6640625" style="626" customWidth="1"/>
    <col min="5160" max="5400" width="11.44140625" style="626"/>
    <col min="5401" max="5401" width="1.6640625" style="626" customWidth="1"/>
    <col min="5402" max="5402" width="13.88671875" style="626" customWidth="1"/>
    <col min="5403" max="5406" width="9.44140625" style="626" customWidth="1"/>
    <col min="5407" max="5407" width="8.33203125" style="626" customWidth="1"/>
    <col min="5408" max="5408" width="9" style="626" customWidth="1"/>
    <col min="5409" max="5410" width="9.5546875" style="626" customWidth="1"/>
    <col min="5411" max="5413" width="11.33203125" style="626" customWidth="1"/>
    <col min="5414" max="5414" width="11.44140625" style="626" customWidth="1"/>
    <col min="5415" max="5415" width="1.6640625" style="626" customWidth="1"/>
    <col min="5416" max="5656" width="11.44140625" style="626"/>
    <col min="5657" max="5657" width="1.6640625" style="626" customWidth="1"/>
    <col min="5658" max="5658" width="13.88671875" style="626" customWidth="1"/>
    <col min="5659" max="5662" width="9.44140625" style="626" customWidth="1"/>
    <col min="5663" max="5663" width="8.33203125" style="626" customWidth="1"/>
    <col min="5664" max="5664" width="9" style="626" customWidth="1"/>
    <col min="5665" max="5666" width="9.5546875" style="626" customWidth="1"/>
    <col min="5667" max="5669" width="11.33203125" style="626" customWidth="1"/>
    <col min="5670" max="5670" width="11.44140625" style="626" customWidth="1"/>
    <col min="5671" max="5671" width="1.6640625" style="626" customWidth="1"/>
    <col min="5672" max="5912" width="11.44140625" style="626"/>
    <col min="5913" max="5913" width="1.6640625" style="626" customWidth="1"/>
    <col min="5914" max="5914" width="13.88671875" style="626" customWidth="1"/>
    <col min="5915" max="5918" width="9.44140625" style="626" customWidth="1"/>
    <col min="5919" max="5919" width="8.33203125" style="626" customWidth="1"/>
    <col min="5920" max="5920" width="9" style="626" customWidth="1"/>
    <col min="5921" max="5922" width="9.5546875" style="626" customWidth="1"/>
    <col min="5923" max="5925" width="11.33203125" style="626" customWidth="1"/>
    <col min="5926" max="5926" width="11.44140625" style="626" customWidth="1"/>
    <col min="5927" max="5927" width="1.6640625" style="626" customWidth="1"/>
    <col min="5928" max="6168" width="11.44140625" style="626"/>
    <col min="6169" max="6169" width="1.6640625" style="626" customWidth="1"/>
    <col min="6170" max="6170" width="13.88671875" style="626" customWidth="1"/>
    <col min="6171" max="6174" width="9.44140625" style="626" customWidth="1"/>
    <col min="6175" max="6175" width="8.33203125" style="626" customWidth="1"/>
    <col min="6176" max="6176" width="9" style="626" customWidth="1"/>
    <col min="6177" max="6178" width="9.5546875" style="626" customWidth="1"/>
    <col min="6179" max="6181" width="11.33203125" style="626" customWidth="1"/>
    <col min="6182" max="6182" width="11.44140625" style="626" customWidth="1"/>
    <col min="6183" max="6183" width="1.6640625" style="626" customWidth="1"/>
    <col min="6184" max="6424" width="11.44140625" style="626"/>
    <col min="6425" max="6425" width="1.6640625" style="626" customWidth="1"/>
    <col min="6426" max="6426" width="13.88671875" style="626" customWidth="1"/>
    <col min="6427" max="6430" width="9.44140625" style="626" customWidth="1"/>
    <col min="6431" max="6431" width="8.33203125" style="626" customWidth="1"/>
    <col min="6432" max="6432" width="9" style="626" customWidth="1"/>
    <col min="6433" max="6434" width="9.5546875" style="626" customWidth="1"/>
    <col min="6435" max="6437" width="11.33203125" style="626" customWidth="1"/>
    <col min="6438" max="6438" width="11.44140625" style="626" customWidth="1"/>
    <col min="6439" max="6439" width="1.6640625" style="626" customWidth="1"/>
    <col min="6440" max="6680" width="11.44140625" style="626"/>
    <col min="6681" max="6681" width="1.6640625" style="626" customWidth="1"/>
    <col min="6682" max="6682" width="13.88671875" style="626" customWidth="1"/>
    <col min="6683" max="6686" width="9.44140625" style="626" customWidth="1"/>
    <col min="6687" max="6687" width="8.33203125" style="626" customWidth="1"/>
    <col min="6688" max="6688" width="9" style="626" customWidth="1"/>
    <col min="6689" max="6690" width="9.5546875" style="626" customWidth="1"/>
    <col min="6691" max="6693" width="11.33203125" style="626" customWidth="1"/>
    <col min="6694" max="6694" width="11.44140625" style="626" customWidth="1"/>
    <col min="6695" max="6695" width="1.6640625" style="626" customWidth="1"/>
    <col min="6696" max="6936" width="11.44140625" style="626"/>
    <col min="6937" max="6937" width="1.6640625" style="626" customWidth="1"/>
    <col min="6938" max="6938" width="13.88671875" style="626" customWidth="1"/>
    <col min="6939" max="6942" width="9.44140625" style="626" customWidth="1"/>
    <col min="6943" max="6943" width="8.33203125" style="626" customWidth="1"/>
    <col min="6944" max="6944" width="9" style="626" customWidth="1"/>
    <col min="6945" max="6946" width="9.5546875" style="626" customWidth="1"/>
    <col min="6947" max="6949" width="11.33203125" style="626" customWidth="1"/>
    <col min="6950" max="6950" width="11.44140625" style="626" customWidth="1"/>
    <col min="6951" max="6951" width="1.6640625" style="626" customWidth="1"/>
    <col min="6952" max="7192" width="11.44140625" style="626"/>
    <col min="7193" max="7193" width="1.6640625" style="626" customWidth="1"/>
    <col min="7194" max="7194" width="13.88671875" style="626" customWidth="1"/>
    <col min="7195" max="7198" width="9.44140625" style="626" customWidth="1"/>
    <col min="7199" max="7199" width="8.33203125" style="626" customWidth="1"/>
    <col min="7200" max="7200" width="9" style="626" customWidth="1"/>
    <col min="7201" max="7202" width="9.5546875" style="626" customWidth="1"/>
    <col min="7203" max="7205" width="11.33203125" style="626" customWidth="1"/>
    <col min="7206" max="7206" width="11.44140625" style="626" customWidth="1"/>
    <col min="7207" max="7207" width="1.6640625" style="626" customWidth="1"/>
    <col min="7208" max="7448" width="11.44140625" style="626"/>
    <col min="7449" max="7449" width="1.6640625" style="626" customWidth="1"/>
    <col min="7450" max="7450" width="13.88671875" style="626" customWidth="1"/>
    <col min="7451" max="7454" width="9.44140625" style="626" customWidth="1"/>
    <col min="7455" max="7455" width="8.33203125" style="626" customWidth="1"/>
    <col min="7456" max="7456" width="9" style="626" customWidth="1"/>
    <col min="7457" max="7458" width="9.5546875" style="626" customWidth="1"/>
    <col min="7459" max="7461" width="11.33203125" style="626" customWidth="1"/>
    <col min="7462" max="7462" width="11.44140625" style="626" customWidth="1"/>
    <col min="7463" max="7463" width="1.6640625" style="626" customWidth="1"/>
    <col min="7464" max="7704" width="11.44140625" style="626"/>
    <col min="7705" max="7705" width="1.6640625" style="626" customWidth="1"/>
    <col min="7706" max="7706" width="13.88671875" style="626" customWidth="1"/>
    <col min="7707" max="7710" width="9.44140625" style="626" customWidth="1"/>
    <col min="7711" max="7711" width="8.33203125" style="626" customWidth="1"/>
    <col min="7712" max="7712" width="9" style="626" customWidth="1"/>
    <col min="7713" max="7714" width="9.5546875" style="626" customWidth="1"/>
    <col min="7715" max="7717" width="11.33203125" style="626" customWidth="1"/>
    <col min="7718" max="7718" width="11.44140625" style="626" customWidth="1"/>
    <col min="7719" max="7719" width="1.6640625" style="626" customWidth="1"/>
    <col min="7720" max="7960" width="11.44140625" style="626"/>
    <col min="7961" max="7961" width="1.6640625" style="626" customWidth="1"/>
    <col min="7962" max="7962" width="13.88671875" style="626" customWidth="1"/>
    <col min="7963" max="7966" width="9.44140625" style="626" customWidth="1"/>
    <col min="7967" max="7967" width="8.33203125" style="626" customWidth="1"/>
    <col min="7968" max="7968" width="9" style="626" customWidth="1"/>
    <col min="7969" max="7970" width="9.5546875" style="626" customWidth="1"/>
    <col min="7971" max="7973" width="11.33203125" style="626" customWidth="1"/>
    <col min="7974" max="7974" width="11.44140625" style="626" customWidth="1"/>
    <col min="7975" max="7975" width="1.6640625" style="626" customWidth="1"/>
    <col min="7976" max="8216" width="11.44140625" style="626"/>
    <col min="8217" max="8217" width="1.6640625" style="626" customWidth="1"/>
    <col min="8218" max="8218" width="13.88671875" style="626" customWidth="1"/>
    <col min="8219" max="8222" width="9.44140625" style="626" customWidth="1"/>
    <col min="8223" max="8223" width="8.33203125" style="626" customWidth="1"/>
    <col min="8224" max="8224" width="9" style="626" customWidth="1"/>
    <col min="8225" max="8226" width="9.5546875" style="626" customWidth="1"/>
    <col min="8227" max="8229" width="11.33203125" style="626" customWidth="1"/>
    <col min="8230" max="8230" width="11.44140625" style="626" customWidth="1"/>
    <col min="8231" max="8231" width="1.6640625" style="626" customWidth="1"/>
    <col min="8232" max="8472" width="11.44140625" style="626"/>
    <col min="8473" max="8473" width="1.6640625" style="626" customWidth="1"/>
    <col min="8474" max="8474" width="13.88671875" style="626" customWidth="1"/>
    <col min="8475" max="8478" width="9.44140625" style="626" customWidth="1"/>
    <col min="8479" max="8479" width="8.33203125" style="626" customWidth="1"/>
    <col min="8480" max="8480" width="9" style="626" customWidth="1"/>
    <col min="8481" max="8482" width="9.5546875" style="626" customWidth="1"/>
    <col min="8483" max="8485" width="11.33203125" style="626" customWidth="1"/>
    <col min="8486" max="8486" width="11.44140625" style="626" customWidth="1"/>
    <col min="8487" max="8487" width="1.6640625" style="626" customWidth="1"/>
    <col min="8488" max="8728" width="11.44140625" style="626"/>
    <col min="8729" max="8729" width="1.6640625" style="626" customWidth="1"/>
    <col min="8730" max="8730" width="13.88671875" style="626" customWidth="1"/>
    <col min="8731" max="8734" width="9.44140625" style="626" customWidth="1"/>
    <col min="8735" max="8735" width="8.33203125" style="626" customWidth="1"/>
    <col min="8736" max="8736" width="9" style="626" customWidth="1"/>
    <col min="8737" max="8738" width="9.5546875" style="626" customWidth="1"/>
    <col min="8739" max="8741" width="11.33203125" style="626" customWidth="1"/>
    <col min="8742" max="8742" width="11.44140625" style="626" customWidth="1"/>
    <col min="8743" max="8743" width="1.6640625" style="626" customWidth="1"/>
    <col min="8744" max="8984" width="11.44140625" style="626"/>
    <col min="8985" max="8985" width="1.6640625" style="626" customWidth="1"/>
    <col min="8986" max="8986" width="13.88671875" style="626" customWidth="1"/>
    <col min="8987" max="8990" width="9.44140625" style="626" customWidth="1"/>
    <col min="8991" max="8991" width="8.33203125" style="626" customWidth="1"/>
    <col min="8992" max="8992" width="9" style="626" customWidth="1"/>
    <col min="8993" max="8994" width="9.5546875" style="626" customWidth="1"/>
    <col min="8995" max="8997" width="11.33203125" style="626" customWidth="1"/>
    <col min="8998" max="8998" width="11.44140625" style="626" customWidth="1"/>
    <col min="8999" max="8999" width="1.6640625" style="626" customWidth="1"/>
    <col min="9000" max="9240" width="11.44140625" style="626"/>
    <col min="9241" max="9241" width="1.6640625" style="626" customWidth="1"/>
    <col min="9242" max="9242" width="13.88671875" style="626" customWidth="1"/>
    <col min="9243" max="9246" width="9.44140625" style="626" customWidth="1"/>
    <col min="9247" max="9247" width="8.33203125" style="626" customWidth="1"/>
    <col min="9248" max="9248" width="9" style="626" customWidth="1"/>
    <col min="9249" max="9250" width="9.5546875" style="626" customWidth="1"/>
    <col min="9251" max="9253" width="11.33203125" style="626" customWidth="1"/>
    <col min="9254" max="9254" width="11.44140625" style="626" customWidth="1"/>
    <col min="9255" max="9255" width="1.6640625" style="626" customWidth="1"/>
    <col min="9256" max="9496" width="11.44140625" style="626"/>
    <col min="9497" max="9497" width="1.6640625" style="626" customWidth="1"/>
    <col min="9498" max="9498" width="13.88671875" style="626" customWidth="1"/>
    <col min="9499" max="9502" width="9.44140625" style="626" customWidth="1"/>
    <col min="9503" max="9503" width="8.33203125" style="626" customWidth="1"/>
    <col min="9504" max="9504" width="9" style="626" customWidth="1"/>
    <col min="9505" max="9506" width="9.5546875" style="626" customWidth="1"/>
    <col min="9507" max="9509" width="11.33203125" style="626" customWidth="1"/>
    <col min="9510" max="9510" width="11.44140625" style="626" customWidth="1"/>
    <col min="9511" max="9511" width="1.6640625" style="626" customWidth="1"/>
    <col min="9512" max="9752" width="11.44140625" style="626"/>
    <col min="9753" max="9753" width="1.6640625" style="626" customWidth="1"/>
    <col min="9754" max="9754" width="13.88671875" style="626" customWidth="1"/>
    <col min="9755" max="9758" width="9.44140625" style="626" customWidth="1"/>
    <col min="9759" max="9759" width="8.33203125" style="626" customWidth="1"/>
    <col min="9760" max="9760" width="9" style="626" customWidth="1"/>
    <col min="9761" max="9762" width="9.5546875" style="626" customWidth="1"/>
    <col min="9763" max="9765" width="11.33203125" style="626" customWidth="1"/>
    <col min="9766" max="9766" width="11.44140625" style="626" customWidth="1"/>
    <col min="9767" max="9767" width="1.6640625" style="626" customWidth="1"/>
    <col min="9768" max="10008" width="11.44140625" style="626"/>
    <col min="10009" max="10009" width="1.6640625" style="626" customWidth="1"/>
    <col min="10010" max="10010" width="13.88671875" style="626" customWidth="1"/>
    <col min="10011" max="10014" width="9.44140625" style="626" customWidth="1"/>
    <col min="10015" max="10015" width="8.33203125" style="626" customWidth="1"/>
    <col min="10016" max="10016" width="9" style="626" customWidth="1"/>
    <col min="10017" max="10018" width="9.5546875" style="626" customWidth="1"/>
    <col min="10019" max="10021" width="11.33203125" style="626" customWidth="1"/>
    <col min="10022" max="10022" width="11.44140625" style="626" customWidth="1"/>
    <col min="10023" max="10023" width="1.6640625" style="626" customWidth="1"/>
    <col min="10024" max="10264" width="11.44140625" style="626"/>
    <col min="10265" max="10265" width="1.6640625" style="626" customWidth="1"/>
    <col min="10266" max="10266" width="13.88671875" style="626" customWidth="1"/>
    <col min="10267" max="10270" width="9.44140625" style="626" customWidth="1"/>
    <col min="10271" max="10271" width="8.33203125" style="626" customWidth="1"/>
    <col min="10272" max="10272" width="9" style="626" customWidth="1"/>
    <col min="10273" max="10274" width="9.5546875" style="626" customWidth="1"/>
    <col min="10275" max="10277" width="11.33203125" style="626" customWidth="1"/>
    <col min="10278" max="10278" width="11.44140625" style="626" customWidth="1"/>
    <col min="10279" max="10279" width="1.6640625" style="626" customWidth="1"/>
    <col min="10280" max="10520" width="11.44140625" style="626"/>
    <col min="10521" max="10521" width="1.6640625" style="626" customWidth="1"/>
    <col min="10522" max="10522" width="13.88671875" style="626" customWidth="1"/>
    <col min="10523" max="10526" width="9.44140625" style="626" customWidth="1"/>
    <col min="10527" max="10527" width="8.33203125" style="626" customWidth="1"/>
    <col min="10528" max="10528" width="9" style="626" customWidth="1"/>
    <col min="10529" max="10530" width="9.5546875" style="626" customWidth="1"/>
    <col min="10531" max="10533" width="11.33203125" style="626" customWidth="1"/>
    <col min="10534" max="10534" width="11.44140625" style="626" customWidth="1"/>
    <col min="10535" max="10535" width="1.6640625" style="626" customWidth="1"/>
    <col min="10536" max="10776" width="11.44140625" style="626"/>
    <col min="10777" max="10777" width="1.6640625" style="626" customWidth="1"/>
    <col min="10778" max="10778" width="13.88671875" style="626" customWidth="1"/>
    <col min="10779" max="10782" width="9.44140625" style="626" customWidth="1"/>
    <col min="10783" max="10783" width="8.33203125" style="626" customWidth="1"/>
    <col min="10784" max="10784" width="9" style="626" customWidth="1"/>
    <col min="10785" max="10786" width="9.5546875" style="626" customWidth="1"/>
    <col min="10787" max="10789" width="11.33203125" style="626" customWidth="1"/>
    <col min="10790" max="10790" width="11.44140625" style="626" customWidth="1"/>
    <col min="10791" max="10791" width="1.6640625" style="626" customWidth="1"/>
    <col min="10792" max="11032" width="11.44140625" style="626"/>
    <col min="11033" max="11033" width="1.6640625" style="626" customWidth="1"/>
    <col min="11034" max="11034" width="13.88671875" style="626" customWidth="1"/>
    <col min="11035" max="11038" width="9.44140625" style="626" customWidth="1"/>
    <col min="11039" max="11039" width="8.33203125" style="626" customWidth="1"/>
    <col min="11040" max="11040" width="9" style="626" customWidth="1"/>
    <col min="11041" max="11042" width="9.5546875" style="626" customWidth="1"/>
    <col min="11043" max="11045" width="11.33203125" style="626" customWidth="1"/>
    <col min="11046" max="11046" width="11.44140625" style="626" customWidth="1"/>
    <col min="11047" max="11047" width="1.6640625" style="626" customWidth="1"/>
    <col min="11048" max="11288" width="11.44140625" style="626"/>
    <col min="11289" max="11289" width="1.6640625" style="626" customWidth="1"/>
    <col min="11290" max="11290" width="13.88671875" style="626" customWidth="1"/>
    <col min="11291" max="11294" width="9.44140625" style="626" customWidth="1"/>
    <col min="11295" max="11295" width="8.33203125" style="626" customWidth="1"/>
    <col min="11296" max="11296" width="9" style="626" customWidth="1"/>
    <col min="11297" max="11298" width="9.5546875" style="626" customWidth="1"/>
    <col min="11299" max="11301" width="11.33203125" style="626" customWidth="1"/>
    <col min="11302" max="11302" width="11.44140625" style="626" customWidth="1"/>
    <col min="11303" max="11303" width="1.6640625" style="626" customWidth="1"/>
    <col min="11304" max="11544" width="11.44140625" style="626"/>
    <col min="11545" max="11545" width="1.6640625" style="626" customWidth="1"/>
    <col min="11546" max="11546" width="13.88671875" style="626" customWidth="1"/>
    <col min="11547" max="11550" width="9.44140625" style="626" customWidth="1"/>
    <col min="11551" max="11551" width="8.33203125" style="626" customWidth="1"/>
    <col min="11552" max="11552" width="9" style="626" customWidth="1"/>
    <col min="11553" max="11554" width="9.5546875" style="626" customWidth="1"/>
    <col min="11555" max="11557" width="11.33203125" style="626" customWidth="1"/>
    <col min="11558" max="11558" width="11.44140625" style="626" customWidth="1"/>
    <col min="11559" max="11559" width="1.6640625" style="626" customWidth="1"/>
    <col min="11560" max="11800" width="11.44140625" style="626"/>
    <col min="11801" max="11801" width="1.6640625" style="626" customWidth="1"/>
    <col min="11802" max="11802" width="13.88671875" style="626" customWidth="1"/>
    <col min="11803" max="11806" width="9.44140625" style="626" customWidth="1"/>
    <col min="11807" max="11807" width="8.33203125" style="626" customWidth="1"/>
    <col min="11808" max="11808" width="9" style="626" customWidth="1"/>
    <col min="11809" max="11810" width="9.5546875" style="626" customWidth="1"/>
    <col min="11811" max="11813" width="11.33203125" style="626" customWidth="1"/>
    <col min="11814" max="11814" width="11.44140625" style="626" customWidth="1"/>
    <col min="11815" max="11815" width="1.6640625" style="626" customWidth="1"/>
    <col min="11816" max="12056" width="11.44140625" style="626"/>
    <col min="12057" max="12057" width="1.6640625" style="626" customWidth="1"/>
    <col min="12058" max="12058" width="13.88671875" style="626" customWidth="1"/>
    <col min="12059" max="12062" width="9.44140625" style="626" customWidth="1"/>
    <col min="12063" max="12063" width="8.33203125" style="626" customWidth="1"/>
    <col min="12064" max="12064" width="9" style="626" customWidth="1"/>
    <col min="12065" max="12066" width="9.5546875" style="626" customWidth="1"/>
    <col min="12067" max="12069" width="11.33203125" style="626" customWidth="1"/>
    <col min="12070" max="12070" width="11.44140625" style="626" customWidth="1"/>
    <col min="12071" max="12071" width="1.6640625" style="626" customWidth="1"/>
    <col min="12072" max="12312" width="11.44140625" style="626"/>
    <col min="12313" max="12313" width="1.6640625" style="626" customWidth="1"/>
    <col min="12314" max="12314" width="13.88671875" style="626" customWidth="1"/>
    <col min="12315" max="12318" width="9.44140625" style="626" customWidth="1"/>
    <col min="12319" max="12319" width="8.33203125" style="626" customWidth="1"/>
    <col min="12320" max="12320" width="9" style="626" customWidth="1"/>
    <col min="12321" max="12322" width="9.5546875" style="626" customWidth="1"/>
    <col min="12323" max="12325" width="11.33203125" style="626" customWidth="1"/>
    <col min="12326" max="12326" width="11.44140625" style="626" customWidth="1"/>
    <col min="12327" max="12327" width="1.6640625" style="626" customWidth="1"/>
    <col min="12328" max="12568" width="11.44140625" style="626"/>
    <col min="12569" max="12569" width="1.6640625" style="626" customWidth="1"/>
    <col min="12570" max="12570" width="13.88671875" style="626" customWidth="1"/>
    <col min="12571" max="12574" width="9.44140625" style="626" customWidth="1"/>
    <col min="12575" max="12575" width="8.33203125" style="626" customWidth="1"/>
    <col min="12576" max="12576" width="9" style="626" customWidth="1"/>
    <col min="12577" max="12578" width="9.5546875" style="626" customWidth="1"/>
    <col min="12579" max="12581" width="11.33203125" style="626" customWidth="1"/>
    <col min="12582" max="12582" width="11.44140625" style="626" customWidth="1"/>
    <col min="12583" max="12583" width="1.6640625" style="626" customWidth="1"/>
    <col min="12584" max="12824" width="11.44140625" style="626"/>
    <col min="12825" max="12825" width="1.6640625" style="626" customWidth="1"/>
    <col min="12826" max="12826" width="13.88671875" style="626" customWidth="1"/>
    <col min="12827" max="12830" width="9.44140625" style="626" customWidth="1"/>
    <col min="12831" max="12831" width="8.33203125" style="626" customWidth="1"/>
    <col min="12832" max="12832" width="9" style="626" customWidth="1"/>
    <col min="12833" max="12834" width="9.5546875" style="626" customWidth="1"/>
    <col min="12835" max="12837" width="11.33203125" style="626" customWidth="1"/>
    <col min="12838" max="12838" width="11.44140625" style="626" customWidth="1"/>
    <col min="12839" max="12839" width="1.6640625" style="626" customWidth="1"/>
    <col min="12840" max="13080" width="11.44140625" style="626"/>
    <col min="13081" max="13081" width="1.6640625" style="626" customWidth="1"/>
    <col min="13082" max="13082" width="13.88671875" style="626" customWidth="1"/>
    <col min="13083" max="13086" width="9.44140625" style="626" customWidth="1"/>
    <col min="13087" max="13087" width="8.33203125" style="626" customWidth="1"/>
    <col min="13088" max="13088" width="9" style="626" customWidth="1"/>
    <col min="13089" max="13090" width="9.5546875" style="626" customWidth="1"/>
    <col min="13091" max="13093" width="11.33203125" style="626" customWidth="1"/>
    <col min="13094" max="13094" width="11.44140625" style="626" customWidth="1"/>
    <col min="13095" max="13095" width="1.6640625" style="626" customWidth="1"/>
    <col min="13096" max="13336" width="11.44140625" style="626"/>
    <col min="13337" max="13337" width="1.6640625" style="626" customWidth="1"/>
    <col min="13338" max="13338" width="13.88671875" style="626" customWidth="1"/>
    <col min="13339" max="13342" width="9.44140625" style="626" customWidth="1"/>
    <col min="13343" max="13343" width="8.33203125" style="626" customWidth="1"/>
    <col min="13344" max="13344" width="9" style="626" customWidth="1"/>
    <col min="13345" max="13346" width="9.5546875" style="626" customWidth="1"/>
    <col min="13347" max="13349" width="11.33203125" style="626" customWidth="1"/>
    <col min="13350" max="13350" width="11.44140625" style="626" customWidth="1"/>
    <col min="13351" max="13351" width="1.6640625" style="626" customWidth="1"/>
    <col min="13352" max="13592" width="11.44140625" style="626"/>
    <col min="13593" max="13593" width="1.6640625" style="626" customWidth="1"/>
    <col min="13594" max="13594" width="13.88671875" style="626" customWidth="1"/>
    <col min="13595" max="13598" width="9.44140625" style="626" customWidth="1"/>
    <col min="13599" max="13599" width="8.33203125" style="626" customWidth="1"/>
    <col min="13600" max="13600" width="9" style="626" customWidth="1"/>
    <col min="13601" max="13602" width="9.5546875" style="626" customWidth="1"/>
    <col min="13603" max="13605" width="11.33203125" style="626" customWidth="1"/>
    <col min="13606" max="13606" width="11.44140625" style="626" customWidth="1"/>
    <col min="13607" max="13607" width="1.6640625" style="626" customWidth="1"/>
    <col min="13608" max="13848" width="11.44140625" style="626"/>
    <col min="13849" max="13849" width="1.6640625" style="626" customWidth="1"/>
    <col min="13850" max="13850" width="13.88671875" style="626" customWidth="1"/>
    <col min="13851" max="13854" width="9.44140625" style="626" customWidth="1"/>
    <col min="13855" max="13855" width="8.33203125" style="626" customWidth="1"/>
    <col min="13856" max="13856" width="9" style="626" customWidth="1"/>
    <col min="13857" max="13858" width="9.5546875" style="626" customWidth="1"/>
    <col min="13859" max="13861" width="11.33203125" style="626" customWidth="1"/>
    <col min="13862" max="13862" width="11.44140625" style="626" customWidth="1"/>
    <col min="13863" max="13863" width="1.6640625" style="626" customWidth="1"/>
    <col min="13864" max="14104" width="11.44140625" style="626"/>
    <col min="14105" max="14105" width="1.6640625" style="626" customWidth="1"/>
    <col min="14106" max="14106" width="13.88671875" style="626" customWidth="1"/>
    <col min="14107" max="14110" width="9.44140625" style="626" customWidth="1"/>
    <col min="14111" max="14111" width="8.33203125" style="626" customWidth="1"/>
    <col min="14112" max="14112" width="9" style="626" customWidth="1"/>
    <col min="14113" max="14114" width="9.5546875" style="626" customWidth="1"/>
    <col min="14115" max="14117" width="11.33203125" style="626" customWidth="1"/>
    <col min="14118" max="14118" width="11.44140625" style="626" customWidth="1"/>
    <col min="14119" max="14119" width="1.6640625" style="626" customWidth="1"/>
    <col min="14120" max="14360" width="11.44140625" style="626"/>
    <col min="14361" max="14361" width="1.6640625" style="626" customWidth="1"/>
    <col min="14362" max="14362" width="13.88671875" style="626" customWidth="1"/>
    <col min="14363" max="14366" width="9.44140625" style="626" customWidth="1"/>
    <col min="14367" max="14367" width="8.33203125" style="626" customWidth="1"/>
    <col min="14368" max="14368" width="9" style="626" customWidth="1"/>
    <col min="14369" max="14370" width="9.5546875" style="626" customWidth="1"/>
    <col min="14371" max="14373" width="11.33203125" style="626" customWidth="1"/>
    <col min="14374" max="14374" width="11.44140625" style="626" customWidth="1"/>
    <col min="14375" max="14375" width="1.6640625" style="626" customWidth="1"/>
    <col min="14376" max="14616" width="11.44140625" style="626"/>
    <col min="14617" max="14617" width="1.6640625" style="626" customWidth="1"/>
    <col min="14618" max="14618" width="13.88671875" style="626" customWidth="1"/>
    <col min="14619" max="14622" width="9.44140625" style="626" customWidth="1"/>
    <col min="14623" max="14623" width="8.33203125" style="626" customWidth="1"/>
    <col min="14624" max="14624" width="9" style="626" customWidth="1"/>
    <col min="14625" max="14626" width="9.5546875" style="626" customWidth="1"/>
    <col min="14627" max="14629" width="11.33203125" style="626" customWidth="1"/>
    <col min="14630" max="14630" width="11.44140625" style="626" customWidth="1"/>
    <col min="14631" max="14631" width="1.6640625" style="626" customWidth="1"/>
    <col min="14632" max="14872" width="11.44140625" style="626"/>
    <col min="14873" max="14873" width="1.6640625" style="626" customWidth="1"/>
    <col min="14874" max="14874" width="13.88671875" style="626" customWidth="1"/>
    <col min="14875" max="14878" width="9.44140625" style="626" customWidth="1"/>
    <col min="14879" max="14879" width="8.33203125" style="626" customWidth="1"/>
    <col min="14880" max="14880" width="9" style="626" customWidth="1"/>
    <col min="14881" max="14882" width="9.5546875" style="626" customWidth="1"/>
    <col min="14883" max="14885" width="11.33203125" style="626" customWidth="1"/>
    <col min="14886" max="14886" width="11.44140625" style="626" customWidth="1"/>
    <col min="14887" max="14887" width="1.6640625" style="626" customWidth="1"/>
    <col min="14888" max="15128" width="11.44140625" style="626"/>
    <col min="15129" max="15129" width="1.6640625" style="626" customWidth="1"/>
    <col min="15130" max="15130" width="13.88671875" style="626" customWidth="1"/>
    <col min="15131" max="15134" width="9.44140625" style="626" customWidth="1"/>
    <col min="15135" max="15135" width="8.33203125" style="626" customWidth="1"/>
    <col min="15136" max="15136" width="9" style="626" customWidth="1"/>
    <col min="15137" max="15138" width="9.5546875" style="626" customWidth="1"/>
    <col min="15139" max="15141" width="11.33203125" style="626" customWidth="1"/>
    <col min="15142" max="15142" width="11.44140625" style="626" customWidth="1"/>
    <col min="15143" max="15143" width="1.6640625" style="626" customWidth="1"/>
    <col min="15144" max="15384" width="11.44140625" style="626"/>
    <col min="15385" max="15385" width="1.6640625" style="626" customWidth="1"/>
    <col min="15386" max="15386" width="13.88671875" style="626" customWidth="1"/>
    <col min="15387" max="15390" width="9.44140625" style="626" customWidth="1"/>
    <col min="15391" max="15391" width="8.33203125" style="626" customWidth="1"/>
    <col min="15392" max="15392" width="9" style="626" customWidth="1"/>
    <col min="15393" max="15394" width="9.5546875" style="626" customWidth="1"/>
    <col min="15395" max="15397" width="11.33203125" style="626" customWidth="1"/>
    <col min="15398" max="15398" width="11.44140625" style="626" customWidth="1"/>
    <col min="15399" max="15399" width="1.6640625" style="626" customWidth="1"/>
    <col min="15400" max="15640" width="11.44140625" style="626"/>
    <col min="15641" max="15641" width="1.6640625" style="626" customWidth="1"/>
    <col min="15642" max="15642" width="13.88671875" style="626" customWidth="1"/>
    <col min="15643" max="15646" width="9.44140625" style="626" customWidth="1"/>
    <col min="15647" max="15647" width="8.33203125" style="626" customWidth="1"/>
    <col min="15648" max="15648" width="9" style="626" customWidth="1"/>
    <col min="15649" max="15650" width="9.5546875" style="626" customWidth="1"/>
    <col min="15651" max="15653" width="11.33203125" style="626" customWidth="1"/>
    <col min="15654" max="15654" width="11.44140625" style="626" customWidth="1"/>
    <col min="15655" max="15655" width="1.6640625" style="626" customWidth="1"/>
    <col min="15656" max="15896" width="11.44140625" style="626"/>
    <col min="15897" max="15897" width="1.6640625" style="626" customWidth="1"/>
    <col min="15898" max="15898" width="13.88671875" style="626" customWidth="1"/>
    <col min="15899" max="15902" width="9.44140625" style="626" customWidth="1"/>
    <col min="15903" max="15903" width="8.33203125" style="626" customWidth="1"/>
    <col min="15904" max="15904" width="9" style="626" customWidth="1"/>
    <col min="15905" max="15906" width="9.5546875" style="626" customWidth="1"/>
    <col min="15907" max="15909" width="11.33203125" style="626" customWidth="1"/>
    <col min="15910" max="15910" width="11.44140625" style="626" customWidth="1"/>
    <col min="15911" max="15911" width="1.6640625" style="626" customWidth="1"/>
    <col min="15912" max="16152" width="11.44140625" style="626"/>
    <col min="16153" max="16153" width="1.6640625" style="626" customWidth="1"/>
    <col min="16154" max="16154" width="13.88671875" style="626" customWidth="1"/>
    <col min="16155" max="16158" width="9.44140625" style="626" customWidth="1"/>
    <col min="16159" max="16159" width="8.33203125" style="626" customWidth="1"/>
    <col min="16160" max="16160" width="9" style="626" customWidth="1"/>
    <col min="16161" max="16162" width="9.5546875" style="626" customWidth="1"/>
    <col min="16163" max="16165" width="11.33203125" style="626" customWidth="1"/>
    <col min="16166" max="16166" width="11.44140625" style="626" customWidth="1"/>
    <col min="16167" max="16167" width="1.6640625" style="626" customWidth="1"/>
    <col min="16168" max="16384" width="11.44140625" style="626"/>
  </cols>
  <sheetData>
    <row r="1" spans="2:72" ht="17.399999999999999">
      <c r="B1" s="817" t="s">
        <v>1067</v>
      </c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  <c r="AE1" s="817"/>
      <c r="AF1" s="817"/>
      <c r="AG1" s="817"/>
      <c r="AH1" s="817"/>
      <c r="AI1" s="817"/>
      <c r="AJ1" s="817"/>
    </row>
    <row r="2" spans="2:72" ht="17.399999999999999">
      <c r="B2" s="818" t="s">
        <v>1068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18"/>
      <c r="AE2" s="818"/>
      <c r="AF2" s="818"/>
      <c r="AG2" s="818"/>
      <c r="AH2" s="818"/>
      <c r="AI2" s="818"/>
      <c r="AJ2" s="818"/>
    </row>
    <row r="3" spans="2:72">
      <c r="B3" s="819" t="s">
        <v>1069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9"/>
      <c r="AE3" s="819"/>
      <c r="AF3" s="819"/>
      <c r="AG3" s="819"/>
      <c r="AH3" s="819"/>
      <c r="AI3" s="819"/>
      <c r="AJ3" s="819"/>
    </row>
    <row r="4" spans="2:72">
      <c r="C4" s="628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  <c r="AC4" s="628"/>
      <c r="AD4" s="628"/>
      <c r="AE4" s="628"/>
      <c r="AF4" s="628"/>
      <c r="AG4" s="628"/>
      <c r="AH4" s="628"/>
    </row>
    <row r="5" spans="2:72" ht="14.4" customHeight="1">
      <c r="B5" s="811" t="s">
        <v>1070</v>
      </c>
      <c r="C5" s="811">
        <v>2011</v>
      </c>
      <c r="D5" s="811">
        <v>2012</v>
      </c>
      <c r="E5" s="811">
        <v>2013</v>
      </c>
      <c r="F5" s="811">
        <v>2014</v>
      </c>
      <c r="G5" s="811">
        <v>2015</v>
      </c>
      <c r="H5" s="811">
        <v>2016</v>
      </c>
      <c r="I5" s="811">
        <v>2017</v>
      </c>
      <c r="J5" s="811">
        <v>2018</v>
      </c>
      <c r="K5" s="811">
        <v>2019</v>
      </c>
      <c r="L5" s="811">
        <v>2020</v>
      </c>
      <c r="M5" s="811">
        <v>2021</v>
      </c>
      <c r="N5" s="811">
        <v>2022</v>
      </c>
      <c r="O5" s="811">
        <v>2023</v>
      </c>
      <c r="P5" s="811">
        <v>2024</v>
      </c>
      <c r="Q5" s="811">
        <v>2025</v>
      </c>
      <c r="R5" s="809" t="s">
        <v>1071</v>
      </c>
      <c r="S5" s="810"/>
      <c r="T5" s="810"/>
      <c r="U5" s="810"/>
      <c r="V5" s="810"/>
      <c r="W5" s="810"/>
      <c r="X5" s="810"/>
      <c r="Y5" s="810"/>
      <c r="Z5" s="810"/>
      <c r="AA5" s="810"/>
      <c r="AB5" s="810"/>
      <c r="AC5" s="810"/>
      <c r="AD5" s="810"/>
      <c r="AE5" s="810"/>
      <c r="AF5" s="810"/>
      <c r="AG5" s="810"/>
      <c r="AH5" s="810"/>
      <c r="AI5" s="810"/>
      <c r="AJ5" s="810"/>
      <c r="AK5" s="810"/>
      <c r="AL5" s="810"/>
      <c r="AM5" s="810"/>
      <c r="AN5" s="810"/>
      <c r="AO5" s="810"/>
      <c r="AP5" s="810"/>
      <c r="AQ5" s="810"/>
      <c r="AR5" s="810"/>
      <c r="AS5" s="810"/>
      <c r="AT5" s="810"/>
      <c r="AU5" s="484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</row>
    <row r="6" spans="2:72" ht="14.4" customHeight="1">
      <c r="B6" s="812"/>
      <c r="C6" s="812"/>
      <c r="D6" s="812"/>
      <c r="E6" s="812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>
        <v>2024</v>
      </c>
      <c r="Q6" s="812"/>
      <c r="R6" s="809" t="s">
        <v>3235</v>
      </c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5" t="s">
        <v>1072</v>
      </c>
      <c r="AH6" s="816"/>
      <c r="AI6" s="816"/>
      <c r="AJ6" s="816"/>
      <c r="AK6" s="816"/>
      <c r="AL6" s="816"/>
      <c r="AM6" s="816"/>
      <c r="AN6" s="816"/>
      <c r="AO6" s="816"/>
      <c r="AP6" s="816"/>
      <c r="AQ6" s="816"/>
      <c r="AR6" s="816"/>
      <c r="AS6" s="816"/>
      <c r="AT6" s="816"/>
      <c r="AU6" s="809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</row>
    <row r="7" spans="2:72" ht="14.4">
      <c r="B7" s="813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667">
        <v>2011</v>
      </c>
      <c r="S7" s="667">
        <v>2012</v>
      </c>
      <c r="T7" s="667">
        <v>2013</v>
      </c>
      <c r="U7" s="667">
        <v>2014</v>
      </c>
      <c r="V7" s="667">
        <v>2015</v>
      </c>
      <c r="W7" s="667">
        <v>2016</v>
      </c>
      <c r="X7" s="667">
        <v>2017</v>
      </c>
      <c r="Y7" s="667">
        <v>2018</v>
      </c>
      <c r="Z7" s="667">
        <v>2019</v>
      </c>
      <c r="AA7" s="667">
        <v>2020</v>
      </c>
      <c r="AB7" s="667">
        <v>2021</v>
      </c>
      <c r="AC7" s="667">
        <v>2022</v>
      </c>
      <c r="AD7" s="667">
        <v>2023</v>
      </c>
      <c r="AE7" s="667">
        <v>2024</v>
      </c>
      <c r="AF7" s="667">
        <v>2025</v>
      </c>
      <c r="AG7" s="668" t="s">
        <v>1073</v>
      </c>
      <c r="AH7" s="668" t="s">
        <v>1074</v>
      </c>
      <c r="AI7" s="668" t="s">
        <v>1075</v>
      </c>
      <c r="AJ7" s="668" t="s">
        <v>1076</v>
      </c>
      <c r="AK7" s="668" t="s">
        <v>1685</v>
      </c>
      <c r="AL7" s="668" t="s">
        <v>1686</v>
      </c>
      <c r="AM7" s="668" t="s">
        <v>1861</v>
      </c>
      <c r="AN7" s="668" t="s">
        <v>2221</v>
      </c>
      <c r="AO7" s="668" t="s">
        <v>2222</v>
      </c>
      <c r="AP7" s="668" t="s">
        <v>3042</v>
      </c>
      <c r="AQ7" s="668" t="s">
        <v>3043</v>
      </c>
      <c r="AR7" s="668" t="s">
        <v>3044</v>
      </c>
      <c r="AS7" s="668" t="s">
        <v>3045</v>
      </c>
      <c r="AT7" s="667" t="s">
        <v>3156</v>
      </c>
      <c r="AU7" s="667" t="s">
        <v>3240</v>
      </c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</row>
    <row r="8" spans="2:72">
      <c r="B8" s="670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  <c r="AB8" s="671"/>
      <c r="AC8" s="671"/>
      <c r="AD8" s="671"/>
      <c r="AE8" s="671"/>
      <c r="AF8" s="671"/>
      <c r="AG8" s="671"/>
      <c r="AH8" s="671"/>
      <c r="AI8" s="671"/>
      <c r="AJ8" s="671"/>
      <c r="AK8" s="671"/>
      <c r="AL8" s="671"/>
      <c r="AM8" s="671"/>
      <c r="AN8" s="671"/>
      <c r="AO8" s="671"/>
      <c r="AP8" s="671"/>
      <c r="AQ8" s="671"/>
      <c r="AR8" s="671"/>
      <c r="AS8" s="671"/>
      <c r="AT8" s="671"/>
      <c r="AU8" s="671"/>
    </row>
    <row r="9" spans="2:72">
      <c r="B9" s="672" t="s">
        <v>1077</v>
      </c>
      <c r="C9" s="688">
        <v>227.6</v>
      </c>
      <c r="D9" s="688">
        <v>239.8</v>
      </c>
      <c r="E9" s="688">
        <v>253.4</v>
      </c>
      <c r="F9" s="688">
        <v>268.60000000000002</v>
      </c>
      <c r="G9" s="688">
        <v>278.89999999999998</v>
      </c>
      <c r="H9" s="688">
        <v>287.5</v>
      </c>
      <c r="I9" s="688">
        <v>297.39999999999998</v>
      </c>
      <c r="J9" s="688">
        <v>311</v>
      </c>
      <c r="K9" s="688">
        <v>323.3</v>
      </c>
      <c r="L9" s="688">
        <v>337.2</v>
      </c>
      <c r="M9" s="688">
        <v>351.3</v>
      </c>
      <c r="N9" s="688">
        <v>373</v>
      </c>
      <c r="O9" s="688">
        <v>406.3</v>
      </c>
      <c r="P9" s="688">
        <v>426.6</v>
      </c>
      <c r="Q9" s="688">
        <v>444.8</v>
      </c>
      <c r="R9" s="679">
        <v>0.44130626654899086</v>
      </c>
      <c r="S9" s="679">
        <v>0.20894274968659143</v>
      </c>
      <c r="T9" s="679">
        <v>0.47581284694686587</v>
      </c>
      <c r="U9" s="679">
        <v>1.5117157974300799</v>
      </c>
      <c r="V9" s="679">
        <v>-0.39</v>
      </c>
      <c r="W9" s="680">
        <v>0.31</v>
      </c>
      <c r="X9" s="680">
        <v>0.44</v>
      </c>
      <c r="Y9" s="680">
        <v>0.28999999999999998</v>
      </c>
      <c r="Z9" s="680">
        <v>0.03</v>
      </c>
      <c r="AA9" s="680">
        <v>0.24</v>
      </c>
      <c r="AB9" s="680">
        <v>0.4</v>
      </c>
      <c r="AC9" s="680">
        <v>1.22</v>
      </c>
      <c r="AD9" s="680">
        <v>0.42</v>
      </c>
      <c r="AE9" s="680">
        <v>0.23</v>
      </c>
      <c r="AF9" s="690">
        <v>0.61</v>
      </c>
      <c r="AG9" s="679">
        <v>6.3551401869158752</v>
      </c>
      <c r="AH9" s="679">
        <v>5.3602811950790974</v>
      </c>
      <c r="AI9" s="679">
        <v>5.6713928273561365</v>
      </c>
      <c r="AJ9" s="679">
        <v>5.9984214680347314</v>
      </c>
      <c r="AK9" s="679">
        <v>3.83</v>
      </c>
      <c r="AL9" s="679">
        <v>3.0835424883470797</v>
      </c>
      <c r="AM9" s="679">
        <v>3.44</v>
      </c>
      <c r="AN9" s="679">
        <v>4.57</v>
      </c>
      <c r="AO9" s="679">
        <v>3.95</v>
      </c>
      <c r="AP9" s="679">
        <v>4.3</v>
      </c>
      <c r="AQ9" s="679">
        <v>4.18</v>
      </c>
      <c r="AR9" s="679">
        <v>6.18</v>
      </c>
      <c r="AS9" s="679">
        <v>8.93</v>
      </c>
      <c r="AT9" s="679">
        <v>5</v>
      </c>
      <c r="AU9" s="679">
        <v>4.2699999999999996</v>
      </c>
    </row>
    <row r="10" spans="2:72">
      <c r="B10" s="672"/>
      <c r="C10" s="673"/>
      <c r="D10" s="670"/>
      <c r="E10" s="670"/>
      <c r="F10" s="674"/>
      <c r="G10" s="674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81"/>
      <c r="S10" s="681"/>
      <c r="T10" s="681"/>
      <c r="U10" s="681"/>
      <c r="V10" s="681"/>
      <c r="W10" s="670"/>
      <c r="X10" s="670"/>
      <c r="Y10" s="670"/>
      <c r="Z10" s="670"/>
      <c r="AA10" s="670"/>
      <c r="AB10" s="670"/>
      <c r="AC10" s="670"/>
      <c r="AD10" s="682"/>
      <c r="AE10" s="670"/>
      <c r="AF10" s="677"/>
      <c r="AG10" s="683"/>
      <c r="AH10" s="681"/>
      <c r="AI10" s="681"/>
      <c r="AJ10" s="681"/>
      <c r="AK10" s="681"/>
      <c r="AL10" s="681"/>
      <c r="AM10" s="681"/>
      <c r="AN10" s="681"/>
      <c r="AO10" s="681"/>
      <c r="AP10" s="681"/>
      <c r="AQ10" s="681"/>
      <c r="AR10" s="681"/>
      <c r="AS10" s="681"/>
      <c r="AT10" s="681"/>
      <c r="AU10" s="681"/>
    </row>
    <row r="11" spans="2:72">
      <c r="B11" s="672" t="s">
        <v>1078</v>
      </c>
      <c r="C11" s="673">
        <v>229.2</v>
      </c>
      <c r="D11" s="673">
        <v>242.1</v>
      </c>
      <c r="E11" s="673">
        <v>256.10000000000002</v>
      </c>
      <c r="F11" s="673">
        <v>270.8</v>
      </c>
      <c r="G11" s="673">
        <v>280.7</v>
      </c>
      <c r="H11" s="673">
        <v>288.89999999999998</v>
      </c>
      <c r="I11" s="673">
        <v>300</v>
      </c>
      <c r="J11" s="673">
        <v>313</v>
      </c>
      <c r="K11" s="673">
        <v>325.8</v>
      </c>
      <c r="L11" s="673">
        <v>338.8</v>
      </c>
      <c r="M11" s="673">
        <v>351.9</v>
      </c>
      <c r="N11" s="673">
        <v>374.3</v>
      </c>
      <c r="O11" s="673">
        <v>411</v>
      </c>
      <c r="P11" s="673">
        <v>429.5</v>
      </c>
      <c r="Q11" s="673">
        <v>449.9</v>
      </c>
      <c r="R11" s="683">
        <v>0.70298769771528491</v>
      </c>
      <c r="S11" s="683">
        <v>0.95913261050875054</v>
      </c>
      <c r="T11" s="683">
        <v>1.0655090765588016</v>
      </c>
      <c r="U11" s="683">
        <v>0.81906180193596079</v>
      </c>
      <c r="V11" s="683">
        <v>0.65</v>
      </c>
      <c r="W11" s="682">
        <v>0.49</v>
      </c>
      <c r="X11" s="682">
        <v>0.87</v>
      </c>
      <c r="Y11" s="682">
        <v>0.64</v>
      </c>
      <c r="Z11" s="682">
        <v>0.77</v>
      </c>
      <c r="AA11" s="682">
        <v>0.47</v>
      </c>
      <c r="AB11" s="682">
        <v>0.17</v>
      </c>
      <c r="AC11" s="682">
        <v>0.35</v>
      </c>
      <c r="AD11" s="682">
        <v>1.1599999999999999</v>
      </c>
      <c r="AE11" s="682">
        <v>0.68</v>
      </c>
      <c r="AF11" s="691">
        <v>1.1499999999999999</v>
      </c>
      <c r="AG11" s="683">
        <v>6.3573085846867716</v>
      </c>
      <c r="AH11" s="683">
        <v>5.6282722513089078</v>
      </c>
      <c r="AI11" s="683">
        <v>5.7827344072697295</v>
      </c>
      <c r="AJ11" s="683">
        <v>5.7399453338539574</v>
      </c>
      <c r="AK11" s="683">
        <v>3.66</v>
      </c>
      <c r="AL11" s="683">
        <v>2.9212682579266014</v>
      </c>
      <c r="AM11" s="683">
        <v>3.84</v>
      </c>
      <c r="AN11" s="683">
        <v>4.33</v>
      </c>
      <c r="AO11" s="683">
        <v>4.09</v>
      </c>
      <c r="AP11" s="683">
        <v>3.99</v>
      </c>
      <c r="AQ11" s="683">
        <v>3.87</v>
      </c>
      <c r="AR11" s="683">
        <v>6.37</v>
      </c>
      <c r="AS11" s="683">
        <v>9.8000000000000007</v>
      </c>
      <c r="AT11" s="683">
        <v>4.5</v>
      </c>
      <c r="AU11" s="683">
        <v>4.75</v>
      </c>
    </row>
    <row r="12" spans="2:72">
      <c r="B12" s="672"/>
      <c r="C12" s="673"/>
      <c r="D12" s="670"/>
      <c r="E12" s="670"/>
      <c r="F12" s="674"/>
      <c r="G12" s="674"/>
      <c r="H12" s="670"/>
      <c r="I12" s="670"/>
      <c r="J12" s="670"/>
      <c r="K12" s="670"/>
      <c r="L12" s="670"/>
      <c r="M12" s="670"/>
      <c r="N12" s="670"/>
      <c r="O12" s="670"/>
      <c r="P12" s="670"/>
      <c r="Q12" s="670"/>
      <c r="R12" s="681"/>
      <c r="S12" s="683"/>
      <c r="T12" s="683"/>
      <c r="U12" s="683"/>
      <c r="V12" s="683"/>
      <c r="W12" s="670"/>
      <c r="X12" s="670"/>
      <c r="Y12" s="670"/>
      <c r="Z12" s="670"/>
      <c r="AA12" s="670"/>
      <c r="AB12" s="670"/>
      <c r="AC12" s="670"/>
      <c r="AD12" s="670"/>
      <c r="AE12" s="670"/>
      <c r="AF12" s="677"/>
      <c r="AG12" s="683"/>
      <c r="AH12" s="681"/>
      <c r="AI12" s="681"/>
      <c r="AJ12" s="681"/>
      <c r="AK12" s="681"/>
      <c r="AL12" s="681"/>
      <c r="AM12" s="681"/>
      <c r="AN12" s="681"/>
      <c r="AO12" s="681"/>
      <c r="AP12" s="681"/>
      <c r="AQ12" s="681"/>
      <c r="AR12" s="681"/>
      <c r="AS12" s="681"/>
      <c r="AT12" s="681"/>
      <c r="AU12" s="681"/>
    </row>
    <row r="13" spans="2:72">
      <c r="B13" s="672" t="s">
        <v>1079</v>
      </c>
      <c r="C13" s="673">
        <v>230.8</v>
      </c>
      <c r="D13" s="673">
        <v>243.9</v>
      </c>
      <c r="E13" s="673">
        <v>257.5</v>
      </c>
      <c r="F13" s="673">
        <v>272.39999999999998</v>
      </c>
      <c r="G13" s="673">
        <v>282.60000000000002</v>
      </c>
      <c r="H13" s="673">
        <v>289.60000000000002</v>
      </c>
      <c r="I13" s="673">
        <v>301</v>
      </c>
      <c r="J13" s="673">
        <v>314.10000000000002</v>
      </c>
      <c r="K13" s="673">
        <v>327.10000000000002</v>
      </c>
      <c r="L13" s="673">
        <v>339.8</v>
      </c>
      <c r="M13" s="673">
        <v>353.2</v>
      </c>
      <c r="N13" s="673">
        <v>377.8</v>
      </c>
      <c r="O13" s="673">
        <v>412</v>
      </c>
      <c r="P13" s="673">
        <v>431.6</v>
      </c>
      <c r="Q13" s="673">
        <v>451.1</v>
      </c>
      <c r="R13" s="683">
        <v>0.69808027923212723</v>
      </c>
      <c r="S13" s="683">
        <v>0.74349442379182396</v>
      </c>
      <c r="T13" s="683">
        <v>0.54666146036703722</v>
      </c>
      <c r="U13" s="683">
        <v>0.59084194977843119</v>
      </c>
      <c r="V13" s="683">
        <v>0.68</v>
      </c>
      <c r="W13" s="682">
        <v>0.24</v>
      </c>
      <c r="X13" s="682">
        <v>0.33</v>
      </c>
      <c r="Y13" s="682">
        <v>0.35</v>
      </c>
      <c r="Z13" s="682">
        <v>0.4</v>
      </c>
      <c r="AA13" s="682">
        <v>0.3</v>
      </c>
      <c r="AB13" s="682">
        <v>0.37</v>
      </c>
      <c r="AC13" s="682">
        <v>0.94</v>
      </c>
      <c r="AD13" s="682">
        <v>0.24</v>
      </c>
      <c r="AE13" s="682">
        <v>0.49</v>
      </c>
      <c r="AF13" s="691">
        <v>0.24</v>
      </c>
      <c r="AG13" s="683">
        <v>6.6050808314087828</v>
      </c>
      <c r="AH13" s="683">
        <v>5.6759098786828499</v>
      </c>
      <c r="AI13" s="683">
        <v>5.5760557605575967</v>
      </c>
      <c r="AJ13" s="683">
        <v>5.7864077669902869</v>
      </c>
      <c r="AK13" s="683">
        <v>3.74</v>
      </c>
      <c r="AL13" s="683">
        <v>2.4769992922859085</v>
      </c>
      <c r="AM13" s="683">
        <v>3.94</v>
      </c>
      <c r="AN13" s="683">
        <v>4.3499999999999996</v>
      </c>
      <c r="AO13" s="683">
        <v>4.1399999999999997</v>
      </c>
      <c r="AP13" s="683">
        <v>3.88</v>
      </c>
      <c r="AQ13" s="683">
        <v>3.94</v>
      </c>
      <c r="AR13" s="683">
        <v>6.96</v>
      </c>
      <c r="AS13" s="683">
        <v>9.0500000000000007</v>
      </c>
      <c r="AT13" s="683">
        <v>4.76</v>
      </c>
      <c r="AU13" s="683">
        <v>4.49</v>
      </c>
    </row>
    <row r="14" spans="2:72">
      <c r="B14" s="672"/>
      <c r="C14" s="673"/>
      <c r="D14" s="673"/>
      <c r="E14" s="673"/>
      <c r="F14" s="673"/>
      <c r="G14" s="673"/>
      <c r="H14" s="670"/>
      <c r="I14" s="670"/>
      <c r="J14" s="670"/>
      <c r="K14" s="670"/>
      <c r="L14" s="670"/>
      <c r="M14" s="670"/>
      <c r="N14" s="670"/>
      <c r="O14" s="670"/>
      <c r="P14" s="670"/>
      <c r="Q14" s="670"/>
      <c r="R14" s="683"/>
      <c r="S14" s="683"/>
      <c r="T14" s="683"/>
      <c r="U14" s="683"/>
      <c r="V14" s="683"/>
      <c r="W14" s="670"/>
      <c r="X14" s="670"/>
      <c r="Y14" s="670"/>
      <c r="Z14" s="670"/>
      <c r="AA14" s="670"/>
      <c r="AB14" s="670"/>
      <c r="AC14" s="682"/>
      <c r="AD14" s="682"/>
      <c r="AE14" s="682"/>
      <c r="AF14" s="691"/>
      <c r="AG14" s="683"/>
      <c r="AH14" s="683"/>
      <c r="AI14" s="683"/>
      <c r="AJ14" s="683"/>
      <c r="AK14" s="683"/>
      <c r="AL14" s="683"/>
      <c r="AM14" s="683"/>
      <c r="AN14" s="683"/>
      <c r="AO14" s="683"/>
      <c r="AP14" s="683"/>
      <c r="AQ14" s="683"/>
      <c r="AR14" s="683"/>
      <c r="AS14" s="683"/>
      <c r="AT14" s="683"/>
      <c r="AU14" s="683"/>
    </row>
    <row r="15" spans="2:72">
      <c r="B15" s="672" t="s">
        <v>1080</v>
      </c>
      <c r="C15" s="673">
        <v>233.4</v>
      </c>
      <c r="D15" s="673">
        <v>246.6</v>
      </c>
      <c r="E15" s="673">
        <v>258.10000000000002</v>
      </c>
      <c r="F15" s="673">
        <v>273.5</v>
      </c>
      <c r="G15" s="673">
        <v>283.3</v>
      </c>
      <c r="H15" s="673">
        <v>290.2</v>
      </c>
      <c r="I15" s="673">
        <v>302.10000000000002</v>
      </c>
      <c r="J15" s="673">
        <v>314.8</v>
      </c>
      <c r="K15" s="673">
        <v>330.1</v>
      </c>
      <c r="L15" s="673">
        <v>341.1</v>
      </c>
      <c r="M15" s="673">
        <v>354.6</v>
      </c>
      <c r="N15" s="673">
        <v>384.2</v>
      </c>
      <c r="O15" s="673">
        <v>412.8</v>
      </c>
      <c r="P15" s="673">
        <v>432.8</v>
      </c>
      <c r="Q15" s="673">
        <v>451.8</v>
      </c>
      <c r="R15" s="683">
        <v>1.1265164644713943</v>
      </c>
      <c r="S15" s="683">
        <v>1.1070110701106861</v>
      </c>
      <c r="T15" s="683">
        <v>0.23300970873787463</v>
      </c>
      <c r="U15" s="683">
        <v>0.40381791483112828</v>
      </c>
      <c r="V15" s="683">
        <v>0.25</v>
      </c>
      <c r="W15" s="682">
        <v>0.21</v>
      </c>
      <c r="X15" s="682">
        <v>0.37</v>
      </c>
      <c r="Y15" s="682">
        <v>0.22</v>
      </c>
      <c r="Z15" s="682">
        <v>0.92</v>
      </c>
      <c r="AA15" s="682">
        <v>0.38</v>
      </c>
      <c r="AB15" s="682">
        <v>0.4</v>
      </c>
      <c r="AC15" s="682">
        <v>1.69</v>
      </c>
      <c r="AD15" s="682">
        <v>0.19</v>
      </c>
      <c r="AE15" s="682">
        <v>0.28000000000000003</v>
      </c>
      <c r="AF15" s="691">
        <v>0.18</v>
      </c>
      <c r="AG15" s="683">
        <v>7.2610294117647189</v>
      </c>
      <c r="AH15" s="683">
        <v>5.655526992287907</v>
      </c>
      <c r="AI15" s="683">
        <v>4.6634225466342327</v>
      </c>
      <c r="AJ15" s="683">
        <v>5.9666795815575213</v>
      </c>
      <c r="AK15" s="683">
        <v>3.58</v>
      </c>
      <c r="AL15" s="683">
        <v>2.4355806565478311</v>
      </c>
      <c r="AM15" s="683">
        <v>4.0999999999999996</v>
      </c>
      <c r="AN15" s="683">
        <v>4.2</v>
      </c>
      <c r="AO15" s="683">
        <v>4.8600000000000003</v>
      </c>
      <c r="AP15" s="683">
        <v>3.33</v>
      </c>
      <c r="AQ15" s="683">
        <v>3.96</v>
      </c>
      <c r="AR15" s="683">
        <v>8.35</v>
      </c>
      <c r="AS15" s="683">
        <v>7.44</v>
      </c>
      <c r="AT15" s="683">
        <v>4.84</v>
      </c>
      <c r="AU15" s="683">
        <v>4.3899999999999997</v>
      </c>
    </row>
    <row r="16" spans="2:72">
      <c r="B16" s="672"/>
      <c r="C16" s="673"/>
      <c r="D16" s="673"/>
      <c r="E16" s="673"/>
      <c r="F16" s="673"/>
      <c r="G16" s="673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83"/>
      <c r="S16" s="681"/>
      <c r="T16" s="681"/>
      <c r="U16" s="681"/>
      <c r="V16" s="681"/>
      <c r="W16" s="670"/>
      <c r="X16" s="670"/>
      <c r="Y16" s="670"/>
      <c r="Z16" s="670"/>
      <c r="AA16" s="670"/>
      <c r="AB16" s="670"/>
      <c r="AC16" s="682"/>
      <c r="AD16" s="682"/>
      <c r="AE16" s="682"/>
      <c r="AF16" s="691"/>
      <c r="AG16" s="683"/>
      <c r="AH16" s="683"/>
      <c r="AI16" s="683"/>
      <c r="AJ16" s="683"/>
      <c r="AK16" s="683"/>
      <c r="AL16" s="683"/>
      <c r="AM16" s="683"/>
      <c r="AN16" s="683"/>
      <c r="AO16" s="683"/>
      <c r="AP16" s="683"/>
      <c r="AQ16" s="683"/>
      <c r="AR16" s="683"/>
      <c r="AS16" s="683"/>
      <c r="AT16" s="683"/>
      <c r="AU16" s="683"/>
    </row>
    <row r="17" spans="2:47">
      <c r="B17" s="672" t="s">
        <v>1081</v>
      </c>
      <c r="C17" s="673">
        <v>234.8</v>
      </c>
      <c r="D17" s="673">
        <v>246.9</v>
      </c>
      <c r="E17" s="673">
        <v>258.8</v>
      </c>
      <c r="F17" s="673">
        <v>274.89999999999998</v>
      </c>
      <c r="G17" s="673">
        <v>284.5</v>
      </c>
      <c r="H17" s="673">
        <v>291.2</v>
      </c>
      <c r="I17" s="673">
        <v>303</v>
      </c>
      <c r="J17" s="673">
        <v>315.10000000000002</v>
      </c>
      <c r="K17" s="673">
        <v>331.3</v>
      </c>
      <c r="L17" s="673">
        <v>338.9</v>
      </c>
      <c r="M17" s="673">
        <v>355.3</v>
      </c>
      <c r="N17" s="673">
        <v>387.6</v>
      </c>
      <c r="O17" s="673">
        <v>413.1</v>
      </c>
      <c r="P17" s="673">
        <v>433.5</v>
      </c>
      <c r="Q17" s="673">
        <v>453.2</v>
      </c>
      <c r="R17" s="683">
        <v>0.59982862039418272</v>
      </c>
      <c r="S17" s="683">
        <v>0.12165450121655041</v>
      </c>
      <c r="T17" s="683">
        <v>0.27121270825261057</v>
      </c>
      <c r="U17" s="683">
        <v>0.51188299817184202</v>
      </c>
      <c r="V17" s="683">
        <v>0.42</v>
      </c>
      <c r="W17" s="682">
        <v>0.34</v>
      </c>
      <c r="X17" s="682">
        <v>0.3</v>
      </c>
      <c r="Y17" s="682">
        <v>0.1</v>
      </c>
      <c r="Z17" s="682">
        <v>0.36</v>
      </c>
      <c r="AA17" s="682">
        <v>-0.64</v>
      </c>
      <c r="AB17" s="682">
        <v>0.2</v>
      </c>
      <c r="AC17" s="682">
        <v>0.88</v>
      </c>
      <c r="AD17" s="682">
        <v>7.0000000000000007E-2</v>
      </c>
      <c r="AE17" s="682">
        <v>0.16</v>
      </c>
      <c r="AF17" s="691">
        <v>0.31</v>
      </c>
      <c r="AG17" s="683">
        <v>7.7064220183486354</v>
      </c>
      <c r="AH17" s="683">
        <v>5.1533219761499049</v>
      </c>
      <c r="AI17" s="683">
        <v>4.819765087079797</v>
      </c>
      <c r="AJ17" s="683">
        <v>6.2210200927356851</v>
      </c>
      <c r="AK17" s="683">
        <v>3.49</v>
      </c>
      <c r="AL17" s="683">
        <v>2.3550087873462244</v>
      </c>
      <c r="AM17" s="683">
        <v>4.05</v>
      </c>
      <c r="AN17" s="683">
        <v>3.99</v>
      </c>
      <c r="AO17" s="683">
        <v>5.14</v>
      </c>
      <c r="AP17" s="683">
        <v>2.29</v>
      </c>
      <c r="AQ17" s="683">
        <v>4.84</v>
      </c>
      <c r="AR17" s="683">
        <v>9.09</v>
      </c>
      <c r="AS17" s="683">
        <v>6.58</v>
      </c>
      <c r="AT17" s="683">
        <v>4.9400000000000004</v>
      </c>
      <c r="AU17" s="683">
        <v>4.54</v>
      </c>
    </row>
    <row r="18" spans="2:47">
      <c r="B18" s="672"/>
      <c r="C18" s="673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0"/>
      <c r="P18" s="670"/>
      <c r="Q18" s="670"/>
      <c r="R18" s="681"/>
      <c r="S18" s="681"/>
      <c r="T18" s="681"/>
      <c r="U18" s="681"/>
      <c r="V18" s="681"/>
      <c r="W18" s="670"/>
      <c r="X18" s="670"/>
      <c r="Y18" s="670"/>
      <c r="Z18" s="670"/>
      <c r="AA18" s="670"/>
      <c r="AB18" s="670"/>
      <c r="AC18" s="682"/>
      <c r="AD18" s="682"/>
      <c r="AE18" s="682"/>
      <c r="AF18" s="691"/>
      <c r="AG18" s="683"/>
      <c r="AH18" s="681"/>
      <c r="AI18" s="681"/>
      <c r="AJ18" s="681"/>
      <c r="AK18" s="681"/>
      <c r="AL18" s="681"/>
      <c r="AM18" s="681"/>
      <c r="AN18" s="681"/>
      <c r="AO18" s="681"/>
      <c r="AP18" s="681"/>
      <c r="AQ18" s="681"/>
      <c r="AR18" s="681"/>
      <c r="AS18" s="681"/>
      <c r="AT18" s="681"/>
      <c r="AU18" s="681"/>
    </row>
    <row r="19" spans="2:47">
      <c r="B19" s="675" t="s">
        <v>1082</v>
      </c>
      <c r="C19" s="673">
        <v>235.8</v>
      </c>
      <c r="D19" s="673">
        <v>246.9</v>
      </c>
      <c r="E19" s="673">
        <v>259.89999999999998</v>
      </c>
      <c r="F19" s="673">
        <v>276.10000000000002</v>
      </c>
      <c r="G19" s="673">
        <v>286.10000000000002</v>
      </c>
      <c r="H19" s="673">
        <v>293.10000000000002</v>
      </c>
      <c r="I19" s="673">
        <v>303.8</v>
      </c>
      <c r="J19" s="673">
        <v>316.39999999999998</v>
      </c>
      <c r="K19" s="673">
        <v>331.6</v>
      </c>
      <c r="L19" s="673">
        <v>340.4</v>
      </c>
      <c r="M19" s="673">
        <v>356.3</v>
      </c>
      <c r="N19" s="673">
        <v>392.7</v>
      </c>
      <c r="O19" s="673">
        <v>414.7</v>
      </c>
      <c r="P19" s="673">
        <v>434.9</v>
      </c>
      <c r="Q19" s="673">
        <v>455.2</v>
      </c>
      <c r="R19" s="683">
        <v>0.42589437819420262</v>
      </c>
      <c r="S19" s="683">
        <v>0</v>
      </c>
      <c r="T19" s="683">
        <v>0.4250386398763295</v>
      </c>
      <c r="U19" s="683">
        <v>0.43652237177156383</v>
      </c>
      <c r="V19" s="683">
        <v>0.56000000000000005</v>
      </c>
      <c r="W19" s="682">
        <v>0.65</v>
      </c>
      <c r="X19" s="682">
        <v>0.26</v>
      </c>
      <c r="Y19" s="682">
        <v>0.41</v>
      </c>
      <c r="Z19" s="682">
        <v>0.09</v>
      </c>
      <c r="AA19" s="682">
        <v>0.44</v>
      </c>
      <c r="AB19" s="682">
        <v>0.28000000000000003</v>
      </c>
      <c r="AC19" s="682">
        <v>1.32</v>
      </c>
      <c r="AD19" s="682">
        <v>0.39</v>
      </c>
      <c r="AE19" s="682">
        <v>0.32</v>
      </c>
      <c r="AF19" s="691">
        <v>0.44</v>
      </c>
      <c r="AG19" s="683">
        <v>7.7204202832343638</v>
      </c>
      <c r="AH19" s="683">
        <v>4.7073791348600569</v>
      </c>
      <c r="AI19" s="683">
        <v>5.265289590927491</v>
      </c>
      <c r="AJ19" s="683">
        <v>6.2331666025394528</v>
      </c>
      <c r="AK19" s="683">
        <v>3.621876131836288</v>
      </c>
      <c r="AL19" s="683">
        <v>2.446696959105199</v>
      </c>
      <c r="AM19" s="683">
        <v>3.65</v>
      </c>
      <c r="AN19" s="683">
        <v>4.1500000000000004</v>
      </c>
      <c r="AO19" s="683">
        <v>4.8</v>
      </c>
      <c r="AP19" s="683">
        <v>2.65</v>
      </c>
      <c r="AQ19" s="683">
        <v>4.67</v>
      </c>
      <c r="AR19" s="683">
        <v>10.220000000000001</v>
      </c>
      <c r="AS19" s="683">
        <v>5.6</v>
      </c>
      <c r="AT19" s="683">
        <v>4.87</v>
      </c>
      <c r="AU19" s="683">
        <v>4.67</v>
      </c>
    </row>
    <row r="20" spans="2:47">
      <c r="B20" s="672"/>
      <c r="C20" s="673"/>
      <c r="D20" s="670"/>
      <c r="E20" s="670"/>
      <c r="F20" s="670"/>
      <c r="G20" s="670"/>
      <c r="H20" s="670"/>
      <c r="I20" s="670"/>
      <c r="J20" s="670"/>
      <c r="K20" s="670"/>
      <c r="L20" s="670"/>
      <c r="M20" s="670"/>
      <c r="N20" s="670"/>
      <c r="O20" s="670"/>
      <c r="P20" s="670"/>
      <c r="Q20" s="670"/>
      <c r="R20" s="681"/>
      <c r="S20" s="681"/>
      <c r="T20" s="681"/>
      <c r="U20" s="681"/>
      <c r="V20" s="681"/>
      <c r="W20" s="670"/>
      <c r="X20" s="670"/>
      <c r="Y20" s="670"/>
      <c r="Z20" s="670"/>
      <c r="AA20" s="670"/>
      <c r="AB20" s="670"/>
      <c r="AC20" s="682"/>
      <c r="AD20" s="682"/>
      <c r="AE20" s="682"/>
      <c r="AF20" s="691"/>
      <c r="AG20" s="683"/>
      <c r="AH20" s="681"/>
      <c r="AI20" s="681"/>
      <c r="AJ20" s="681"/>
      <c r="AK20" s="681"/>
      <c r="AL20" s="681"/>
      <c r="AM20" s="681"/>
      <c r="AN20" s="681"/>
      <c r="AO20" s="681"/>
      <c r="AP20" s="681"/>
      <c r="AQ20" s="681"/>
      <c r="AR20" s="681"/>
      <c r="AS20" s="681"/>
      <c r="AT20" s="681"/>
      <c r="AU20" s="681"/>
    </row>
    <row r="21" spans="2:47">
      <c r="B21" s="672" t="s">
        <v>1083</v>
      </c>
      <c r="C21" s="673">
        <v>237.4</v>
      </c>
      <c r="D21" s="673">
        <v>247.1</v>
      </c>
      <c r="E21" s="673">
        <v>261</v>
      </c>
      <c r="F21" s="673">
        <v>278.2</v>
      </c>
      <c r="G21" s="673">
        <v>287.10000000000002</v>
      </c>
      <c r="H21" s="673">
        <v>294</v>
      </c>
      <c r="I21" s="673">
        <v>304.7</v>
      </c>
      <c r="J21" s="673">
        <v>317.60000000000002</v>
      </c>
      <c r="K21" s="673">
        <v>332.5</v>
      </c>
      <c r="L21" s="673">
        <v>342.8</v>
      </c>
      <c r="M21" s="673">
        <v>357.4</v>
      </c>
      <c r="N21" s="673">
        <v>396.2</v>
      </c>
      <c r="O21" s="673">
        <v>416.6</v>
      </c>
      <c r="P21" s="673">
        <v>437.7</v>
      </c>
      <c r="Q21" s="673">
        <v>457</v>
      </c>
      <c r="R21" s="683">
        <v>0.6785411365564098</v>
      </c>
      <c r="S21" s="683">
        <v>8.1004455245037299E-2</v>
      </c>
      <c r="T21" s="683">
        <v>0.42323970757984775</v>
      </c>
      <c r="U21" s="683">
        <v>0.76059398768559827</v>
      </c>
      <c r="V21" s="683">
        <v>0.35</v>
      </c>
      <c r="W21" s="682">
        <v>0.31</v>
      </c>
      <c r="X21" s="684">
        <v>0.3</v>
      </c>
      <c r="Y21" s="684">
        <v>0.38</v>
      </c>
      <c r="Z21" s="684">
        <v>0.27</v>
      </c>
      <c r="AA21" s="684">
        <v>0.71</v>
      </c>
      <c r="AB21" s="684">
        <v>0.31</v>
      </c>
      <c r="AC21" s="682">
        <v>0.89</v>
      </c>
      <c r="AD21" s="682">
        <v>0.46</v>
      </c>
      <c r="AE21" s="682">
        <v>0.64</v>
      </c>
      <c r="AF21" s="691">
        <v>0.4</v>
      </c>
      <c r="AG21" s="683">
        <v>7.7621425329096549</v>
      </c>
      <c r="AH21" s="683">
        <v>4.0859309182813774</v>
      </c>
      <c r="AI21" s="683">
        <v>5.6252529340347968</v>
      </c>
      <c r="AJ21" s="683">
        <v>6.5900383141762386</v>
      </c>
      <c r="AK21" s="683">
        <v>3.1991373112868482</v>
      </c>
      <c r="AL21" s="683">
        <v>2.4</v>
      </c>
      <c r="AM21" s="683">
        <v>3.64</v>
      </c>
      <c r="AN21" s="683">
        <v>4.2300000000000004</v>
      </c>
      <c r="AO21" s="683">
        <v>4.6900000000000004</v>
      </c>
      <c r="AP21" s="683">
        <v>3.1</v>
      </c>
      <c r="AQ21" s="683">
        <v>4.26</v>
      </c>
      <c r="AR21" s="683">
        <v>10.86</v>
      </c>
      <c r="AS21" s="683">
        <v>5.15</v>
      </c>
      <c r="AT21" s="683">
        <v>5.0599999999999996</v>
      </c>
      <c r="AU21" s="683">
        <v>4.41</v>
      </c>
    </row>
    <row r="22" spans="2:47">
      <c r="B22" s="672"/>
      <c r="C22" s="673"/>
      <c r="D22" s="673"/>
      <c r="E22" s="673"/>
      <c r="F22" s="673"/>
      <c r="G22" s="673"/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83"/>
      <c r="S22" s="681"/>
      <c r="T22" s="681"/>
      <c r="U22" s="681"/>
      <c r="V22" s="681"/>
      <c r="W22" s="670"/>
      <c r="X22" s="670"/>
      <c r="Y22" s="670"/>
      <c r="Z22" s="670"/>
      <c r="AA22" s="670"/>
      <c r="AB22" s="670"/>
      <c r="AC22" s="682"/>
      <c r="AD22" s="682"/>
      <c r="AE22" s="682"/>
      <c r="AF22" s="691"/>
      <c r="AG22" s="683"/>
      <c r="AH22" s="683"/>
      <c r="AI22" s="683"/>
      <c r="AJ22" s="683"/>
      <c r="AK22" s="683"/>
      <c r="AL22" s="683"/>
      <c r="AM22" s="683"/>
      <c r="AN22" s="683"/>
      <c r="AO22" s="683"/>
      <c r="AP22" s="683"/>
      <c r="AQ22" s="683"/>
      <c r="AR22" s="683"/>
      <c r="AS22" s="683"/>
      <c r="AT22" s="683"/>
      <c r="AU22" s="683"/>
    </row>
    <row r="23" spans="2:47">
      <c r="B23" s="672" t="s">
        <v>1084</v>
      </c>
      <c r="C23" s="673">
        <v>238.3</v>
      </c>
      <c r="D23" s="673">
        <v>248.6</v>
      </c>
      <c r="E23" s="673">
        <v>262</v>
      </c>
      <c r="F23" s="673">
        <v>278.60000000000002</v>
      </c>
      <c r="G23" s="673">
        <v>287.2</v>
      </c>
      <c r="H23" s="673">
        <v>294.39999999999998</v>
      </c>
      <c r="I23" s="673">
        <v>305.7</v>
      </c>
      <c r="J23" s="673">
        <v>319</v>
      </c>
      <c r="K23" s="673">
        <v>332.7</v>
      </c>
      <c r="L23" s="673">
        <v>343.4</v>
      </c>
      <c r="M23" s="673">
        <v>358.8</v>
      </c>
      <c r="N23" s="673">
        <v>396.1</v>
      </c>
      <c r="O23" s="673">
        <v>418.7</v>
      </c>
      <c r="P23" s="673">
        <v>439.6</v>
      </c>
      <c r="Q23" s="673">
        <v>457.9</v>
      </c>
      <c r="R23" s="683">
        <v>0.37910699241785473</v>
      </c>
      <c r="S23" s="683">
        <v>0.60704168352894161</v>
      </c>
      <c r="T23" s="683">
        <v>0.38314176245211051</v>
      </c>
      <c r="U23" s="683">
        <v>0.14378145219267058</v>
      </c>
      <c r="V23" s="683">
        <v>0.03</v>
      </c>
      <c r="W23" s="682">
        <v>0.14000000000000001</v>
      </c>
      <c r="X23" s="684">
        <v>0.33</v>
      </c>
      <c r="Y23" s="684">
        <v>0.44</v>
      </c>
      <c r="Z23" s="684">
        <v>0.06</v>
      </c>
      <c r="AA23" s="684">
        <v>0.18</v>
      </c>
      <c r="AB23" s="684">
        <v>0.39</v>
      </c>
      <c r="AC23" s="682">
        <v>-0.03</v>
      </c>
      <c r="AD23" s="682">
        <v>0.5</v>
      </c>
      <c r="AE23" s="682">
        <v>0.43</v>
      </c>
      <c r="AF23" s="691">
        <v>0.2</v>
      </c>
      <c r="AG23" s="683">
        <v>7.6818798011748735</v>
      </c>
      <c r="AH23" s="683">
        <v>4.3222828367603716</v>
      </c>
      <c r="AI23" s="683">
        <v>5.3901850362027437</v>
      </c>
      <c r="AJ23" s="683">
        <v>6.3358778625954182</v>
      </c>
      <c r="AK23" s="683">
        <v>3.086862885857844</v>
      </c>
      <c r="AL23" s="683">
        <v>2.5099999999999998</v>
      </c>
      <c r="AM23" s="683">
        <v>3.84</v>
      </c>
      <c r="AN23" s="683">
        <v>4.3499999999999996</v>
      </c>
      <c r="AO23" s="683">
        <v>4.29</v>
      </c>
      <c r="AP23" s="683">
        <v>3.22</v>
      </c>
      <c r="AQ23" s="683">
        <v>4.4800000000000004</v>
      </c>
      <c r="AR23" s="683">
        <v>10.4</v>
      </c>
      <c r="AS23" s="683">
        <v>5.71</v>
      </c>
      <c r="AT23" s="683">
        <v>4.99</v>
      </c>
      <c r="AU23" s="683">
        <v>4.16</v>
      </c>
    </row>
    <row r="24" spans="2:47">
      <c r="B24" s="672"/>
      <c r="C24" s="673"/>
      <c r="D24" s="673"/>
      <c r="E24" s="673"/>
      <c r="F24" s="673"/>
      <c r="G24" s="673"/>
      <c r="H24" s="670"/>
      <c r="I24" s="670"/>
      <c r="J24" s="670"/>
      <c r="K24" s="670"/>
      <c r="L24" s="670"/>
      <c r="M24" s="670"/>
      <c r="N24" s="670"/>
      <c r="O24" s="670"/>
      <c r="P24" s="670"/>
      <c r="Q24" s="670"/>
      <c r="R24" s="683"/>
      <c r="S24" s="683"/>
      <c r="T24" s="683"/>
      <c r="U24" s="683"/>
      <c r="V24" s="683"/>
      <c r="W24" s="670"/>
      <c r="X24" s="670"/>
      <c r="Y24" s="670"/>
      <c r="Z24" s="670"/>
      <c r="AA24" s="670"/>
      <c r="AB24" s="670"/>
      <c r="AC24" s="682"/>
      <c r="AD24" s="682"/>
      <c r="AE24" s="682"/>
      <c r="AF24" s="691"/>
      <c r="AG24" s="683"/>
      <c r="AH24" s="683"/>
      <c r="AI24" s="683"/>
      <c r="AJ24" s="683"/>
      <c r="AK24" s="683"/>
      <c r="AL24" s="683"/>
      <c r="AM24" s="683"/>
      <c r="AN24" s="683"/>
      <c r="AO24" s="683"/>
      <c r="AP24" s="683"/>
      <c r="AQ24" s="683"/>
      <c r="AR24" s="683"/>
      <c r="AS24" s="683"/>
      <c r="AT24" s="683"/>
      <c r="AU24" s="683"/>
    </row>
    <row r="25" spans="2:47">
      <c r="B25" s="672" t="s">
        <v>1085</v>
      </c>
      <c r="C25" s="673">
        <v>237.8</v>
      </c>
      <c r="D25" s="673">
        <v>250.4</v>
      </c>
      <c r="E25" s="673">
        <v>262.8</v>
      </c>
      <c r="F25" s="673">
        <v>278.89999999999998</v>
      </c>
      <c r="G25" s="673">
        <v>286.60000000000002</v>
      </c>
      <c r="H25" s="673">
        <v>294.89999999999998</v>
      </c>
      <c r="I25" s="673">
        <v>305.7</v>
      </c>
      <c r="J25" s="673">
        <v>319.10000000000002</v>
      </c>
      <c r="K25" s="673">
        <v>333.2</v>
      </c>
      <c r="L25" s="673">
        <v>344.5</v>
      </c>
      <c r="M25" s="673">
        <v>360.4</v>
      </c>
      <c r="N25" s="673">
        <v>396.6</v>
      </c>
      <c r="O25" s="673">
        <v>420.9</v>
      </c>
      <c r="P25" s="673">
        <v>439.8</v>
      </c>
      <c r="Q25" s="673">
        <v>459.8</v>
      </c>
      <c r="R25" s="683">
        <v>-0.20981955518254436</v>
      </c>
      <c r="S25" s="683">
        <v>0.72405470635559244</v>
      </c>
      <c r="T25" s="683">
        <v>0.30534351145039551</v>
      </c>
      <c r="U25" s="683">
        <v>0.1076812634601465</v>
      </c>
      <c r="V25" s="683">
        <v>-0.21</v>
      </c>
      <c r="W25" s="682">
        <v>0.17</v>
      </c>
      <c r="X25" s="684">
        <v>0</v>
      </c>
      <c r="Y25" s="684">
        <v>0.03</v>
      </c>
      <c r="Z25" s="684">
        <v>0.15</v>
      </c>
      <c r="AA25" s="684">
        <v>0.32</v>
      </c>
      <c r="AB25" s="684">
        <v>0.45</v>
      </c>
      <c r="AC25" s="682">
        <v>0.13</v>
      </c>
      <c r="AD25" s="682">
        <v>0.53</v>
      </c>
      <c r="AE25" s="682">
        <v>0.05</v>
      </c>
      <c r="AF25" s="691">
        <v>0.41</v>
      </c>
      <c r="AG25" s="683">
        <v>6.8283917340521194</v>
      </c>
      <c r="AH25" s="683">
        <v>5.2985702270815782</v>
      </c>
      <c r="AI25" s="683">
        <v>4.9520766773162972</v>
      </c>
      <c r="AJ25" s="683">
        <v>6.126331811263297</v>
      </c>
      <c r="AK25" s="683">
        <v>2.7608461814270457</v>
      </c>
      <c r="AL25" s="683">
        <v>2.9</v>
      </c>
      <c r="AM25" s="683">
        <v>3.66</v>
      </c>
      <c r="AN25" s="683">
        <v>4.38</v>
      </c>
      <c r="AO25" s="683">
        <v>4.42</v>
      </c>
      <c r="AP25" s="683">
        <v>3.39</v>
      </c>
      <c r="AQ25" s="683">
        <v>4.62</v>
      </c>
      <c r="AR25" s="683">
        <v>10.039999999999999</v>
      </c>
      <c r="AS25" s="683">
        <v>6.13</v>
      </c>
      <c r="AT25" s="683">
        <v>4.49</v>
      </c>
      <c r="AU25" s="683">
        <v>4.55</v>
      </c>
    </row>
    <row r="26" spans="2:47">
      <c r="B26" s="672"/>
      <c r="C26" s="673"/>
      <c r="D26" s="673"/>
      <c r="E26" s="673"/>
      <c r="F26" s="673"/>
      <c r="G26" s="673"/>
      <c r="H26" s="670"/>
      <c r="I26" s="670"/>
      <c r="J26" s="670"/>
      <c r="K26" s="670"/>
      <c r="L26" s="670"/>
      <c r="M26" s="670"/>
      <c r="N26" s="670"/>
      <c r="O26" s="670"/>
      <c r="P26" s="670"/>
      <c r="Q26" s="670"/>
      <c r="R26" s="683"/>
      <c r="S26" s="681"/>
      <c r="T26" s="681"/>
      <c r="U26" s="681"/>
      <c r="V26" s="681"/>
      <c r="W26" s="670"/>
      <c r="X26" s="670"/>
      <c r="Y26" s="670"/>
      <c r="Z26" s="670"/>
      <c r="AA26" s="670"/>
      <c r="AB26" s="670"/>
      <c r="AC26" s="682"/>
      <c r="AD26" s="682"/>
      <c r="AE26" s="682"/>
      <c r="AF26" s="691"/>
      <c r="AG26" s="683"/>
      <c r="AH26" s="683"/>
      <c r="AI26" s="683"/>
      <c r="AJ26" s="683"/>
      <c r="AK26" s="683"/>
      <c r="AL26" s="683"/>
      <c r="AM26" s="683"/>
      <c r="AN26" s="683"/>
      <c r="AO26" s="683"/>
      <c r="AP26" s="683"/>
      <c r="AQ26" s="683"/>
      <c r="AR26" s="683"/>
      <c r="AS26" s="683"/>
      <c r="AT26" s="683"/>
      <c r="AU26" s="683"/>
    </row>
    <row r="27" spans="2:47">
      <c r="B27" s="672" t="s">
        <v>1086</v>
      </c>
      <c r="C27" s="673">
        <v>238</v>
      </c>
      <c r="D27" s="673">
        <v>251.5</v>
      </c>
      <c r="E27" s="673">
        <v>263.10000000000002</v>
      </c>
      <c r="F27" s="673">
        <v>279.7</v>
      </c>
      <c r="G27" s="673">
        <v>286.8</v>
      </c>
      <c r="H27" s="673">
        <v>294.89999999999998</v>
      </c>
      <c r="I27" s="673">
        <v>306.60000000000002</v>
      </c>
      <c r="J27" s="673">
        <v>320.89999999999998</v>
      </c>
      <c r="K27" s="673">
        <v>334</v>
      </c>
      <c r="L27" s="673">
        <v>346.2</v>
      </c>
      <c r="M27" s="673">
        <v>362.3</v>
      </c>
      <c r="N27" s="673">
        <v>399.2</v>
      </c>
      <c r="O27" s="673">
        <v>422.5</v>
      </c>
      <c r="P27" s="673">
        <v>439.6</v>
      </c>
      <c r="Q27" s="673">
        <v>460.9</v>
      </c>
      <c r="R27" s="683">
        <v>8.41042893187538E-2</v>
      </c>
      <c r="S27" s="683">
        <v>0.43929712460064607</v>
      </c>
      <c r="T27" s="683">
        <v>0.11415525114155667</v>
      </c>
      <c r="U27" s="683">
        <v>0.28684116170671903</v>
      </c>
      <c r="V27" s="683">
        <v>7.0000000000000007E-2</v>
      </c>
      <c r="W27" s="682">
        <v>0</v>
      </c>
      <c r="X27" s="684">
        <v>0.28999999999999998</v>
      </c>
      <c r="Y27" s="684">
        <v>0.56000000000000005</v>
      </c>
      <c r="Z27" s="684">
        <v>0.24</v>
      </c>
      <c r="AA27" s="684">
        <v>0.49</v>
      </c>
      <c r="AB27" s="684">
        <v>0.53</v>
      </c>
      <c r="AC27" s="682">
        <v>0.66</v>
      </c>
      <c r="AD27" s="682">
        <v>0.38</v>
      </c>
      <c r="AE27" s="682">
        <v>-0.05</v>
      </c>
      <c r="AF27" s="691">
        <v>0.24</v>
      </c>
      <c r="AG27" s="683">
        <v>5.9190031152648093</v>
      </c>
      <c r="AH27" s="683">
        <v>5.6722689075630273</v>
      </c>
      <c r="AI27" s="683">
        <v>4.6123260437375802</v>
      </c>
      <c r="AJ27" s="683">
        <v>6.3093880653743772</v>
      </c>
      <c r="AK27" s="683">
        <v>2.538434036467649</v>
      </c>
      <c r="AL27" s="683">
        <v>2.824267782426773</v>
      </c>
      <c r="AM27" s="683">
        <v>3.97</v>
      </c>
      <c r="AN27" s="683">
        <v>4.66</v>
      </c>
      <c r="AO27" s="683">
        <v>4.08</v>
      </c>
      <c r="AP27" s="683">
        <v>3.65</v>
      </c>
      <c r="AQ27" s="683">
        <v>4.6500000000000004</v>
      </c>
      <c r="AR27" s="683">
        <v>10.18</v>
      </c>
      <c r="AS27" s="683">
        <v>5.84</v>
      </c>
      <c r="AT27" s="683">
        <v>4.05</v>
      </c>
      <c r="AU27" s="683">
        <v>4.8499999999999996</v>
      </c>
    </row>
    <row r="28" spans="2:47">
      <c r="B28" s="672"/>
      <c r="C28" s="673"/>
      <c r="D28" s="670"/>
      <c r="E28" s="670"/>
      <c r="F28" s="670"/>
      <c r="G28" s="670"/>
      <c r="H28" s="670"/>
      <c r="I28" s="670"/>
      <c r="J28" s="670"/>
      <c r="K28" s="670"/>
      <c r="L28" s="670"/>
      <c r="M28" s="670"/>
      <c r="N28" s="670"/>
      <c r="O28" s="670"/>
      <c r="P28" s="670"/>
      <c r="Q28" s="670"/>
      <c r="R28" s="681"/>
      <c r="S28" s="683"/>
      <c r="T28" s="681"/>
      <c r="U28" s="681"/>
      <c r="V28" s="670"/>
      <c r="W28" s="670"/>
      <c r="X28" s="670"/>
      <c r="Y28" s="670"/>
      <c r="Z28" s="670"/>
      <c r="AA28" s="670"/>
      <c r="AB28" s="670"/>
      <c r="AC28" s="682"/>
      <c r="AD28" s="682"/>
      <c r="AE28" s="682"/>
      <c r="AF28" s="691"/>
      <c r="AG28" s="683"/>
      <c r="AH28" s="681"/>
      <c r="AI28" s="681"/>
      <c r="AJ28" s="681"/>
      <c r="AK28" s="681"/>
      <c r="AL28" s="681"/>
      <c r="AM28" s="681"/>
      <c r="AN28" s="681"/>
      <c r="AO28" s="681"/>
      <c r="AP28" s="681"/>
      <c r="AQ28" s="681"/>
      <c r="AR28" s="681"/>
      <c r="AS28" s="681"/>
      <c r="AT28" s="681"/>
      <c r="AU28" s="681"/>
    </row>
    <row r="29" spans="2:47">
      <c r="B29" s="672" t="s">
        <v>1087</v>
      </c>
      <c r="C29" s="673">
        <v>238.9</v>
      </c>
      <c r="D29" s="673">
        <v>251.9</v>
      </c>
      <c r="E29" s="673">
        <v>263.8</v>
      </c>
      <c r="F29" s="673">
        <v>280.7</v>
      </c>
      <c r="G29" s="673">
        <v>286.60000000000002</v>
      </c>
      <c r="H29" s="673">
        <v>295.3</v>
      </c>
      <c r="I29" s="673">
        <v>308.10000000000002</v>
      </c>
      <c r="J29" s="673">
        <v>322.60000000000002</v>
      </c>
      <c r="K29" s="673">
        <v>335</v>
      </c>
      <c r="L29" s="673">
        <v>347.8</v>
      </c>
      <c r="M29" s="673">
        <v>365</v>
      </c>
      <c r="N29" s="673">
        <v>403.1</v>
      </c>
      <c r="O29" s="673">
        <v>423.4</v>
      </c>
      <c r="P29" s="673">
        <v>440.1</v>
      </c>
      <c r="Q29" s="673"/>
      <c r="R29" s="683">
        <v>0.37815126050420034</v>
      </c>
      <c r="S29" s="683">
        <v>0.15904572564613417</v>
      </c>
      <c r="T29" s="683">
        <v>0.26605853287722248</v>
      </c>
      <c r="U29" s="683">
        <v>0.35752592062925359</v>
      </c>
      <c r="V29" s="683">
        <v>-7.0000000000000007E-2</v>
      </c>
      <c r="W29" s="682">
        <v>0.14000000000000001</v>
      </c>
      <c r="X29" s="684">
        <v>0.49</v>
      </c>
      <c r="Y29" s="684">
        <v>0.53</v>
      </c>
      <c r="Z29" s="684">
        <v>0.3</v>
      </c>
      <c r="AA29" s="684">
        <v>0.46</v>
      </c>
      <c r="AB29" s="684">
        <v>0.75</v>
      </c>
      <c r="AC29" s="682">
        <v>0.98</v>
      </c>
      <c r="AD29" s="682">
        <v>0.21</v>
      </c>
      <c r="AE29" s="682">
        <v>0.11</v>
      </c>
      <c r="AF29" s="691"/>
      <c r="AG29" s="683">
        <v>5.4280670785525231</v>
      </c>
      <c r="AH29" s="683">
        <v>5.4416073670991993</v>
      </c>
      <c r="AI29" s="683">
        <v>4.7240968638348591</v>
      </c>
      <c r="AJ29" s="683">
        <v>6.4063684609552585</v>
      </c>
      <c r="AK29" s="683">
        <v>2.1018881368008779</v>
      </c>
      <c r="AL29" s="683">
        <v>3.04</v>
      </c>
      <c r="AM29" s="683">
        <v>4.33</v>
      </c>
      <c r="AN29" s="683">
        <v>4.71</v>
      </c>
      <c r="AO29" s="683">
        <v>3.84</v>
      </c>
      <c r="AP29" s="683">
        <v>3.82</v>
      </c>
      <c r="AQ29" s="683">
        <v>4.95</v>
      </c>
      <c r="AR29" s="683">
        <v>10.44</v>
      </c>
      <c r="AS29" s="683">
        <v>5.04</v>
      </c>
      <c r="AT29" s="683">
        <v>3.94</v>
      </c>
      <c r="AU29" s="683"/>
    </row>
    <row r="30" spans="2:47">
      <c r="B30" s="672"/>
      <c r="C30" s="673"/>
      <c r="D30" s="670"/>
      <c r="E30" s="670"/>
      <c r="F30" s="670"/>
      <c r="G30" s="670"/>
      <c r="H30" s="670"/>
      <c r="I30" s="670"/>
      <c r="J30" s="670"/>
      <c r="K30" s="670"/>
      <c r="L30" s="670"/>
      <c r="M30" s="670"/>
      <c r="N30" s="670"/>
      <c r="O30" s="670"/>
      <c r="P30" s="670"/>
      <c r="Q30" s="673"/>
      <c r="R30" s="681"/>
      <c r="S30" s="683"/>
      <c r="T30" s="681"/>
      <c r="U30" s="681"/>
      <c r="V30" s="670"/>
      <c r="W30" s="670"/>
      <c r="X30" s="670"/>
      <c r="Y30" s="670"/>
      <c r="Z30" s="670"/>
      <c r="AA30" s="670"/>
      <c r="AB30" s="670"/>
      <c r="AC30" s="682"/>
      <c r="AD30" s="682"/>
      <c r="AE30" s="682"/>
      <c r="AF30" s="691"/>
      <c r="AG30" s="683"/>
      <c r="AH30" s="681"/>
      <c r="AI30" s="681"/>
      <c r="AJ30" s="681"/>
      <c r="AK30" s="681"/>
      <c r="AL30" s="681"/>
      <c r="AM30" s="683"/>
      <c r="AN30" s="683"/>
      <c r="AO30" s="681"/>
      <c r="AP30" s="681"/>
      <c r="AQ30" s="683"/>
      <c r="AR30" s="681"/>
      <c r="AS30" s="681"/>
      <c r="AT30" s="681"/>
      <c r="AU30" s="681"/>
    </row>
    <row r="31" spans="2:47">
      <c r="B31" s="672" t="s">
        <v>1088</v>
      </c>
      <c r="C31" s="689">
        <v>239.3</v>
      </c>
      <c r="D31" s="689">
        <v>252.2</v>
      </c>
      <c r="E31" s="689">
        <v>264.60000000000002</v>
      </c>
      <c r="F31" s="689">
        <v>280</v>
      </c>
      <c r="G31" s="689">
        <v>286.60000000000002</v>
      </c>
      <c r="H31" s="689">
        <v>296.10000000000002</v>
      </c>
      <c r="I31" s="689">
        <v>310.10000000000002</v>
      </c>
      <c r="J31" s="689">
        <v>323.2</v>
      </c>
      <c r="K31" s="689">
        <v>336.4</v>
      </c>
      <c r="L31" s="689">
        <v>349.9</v>
      </c>
      <c r="M31" s="689">
        <v>368.5</v>
      </c>
      <c r="N31" s="689">
        <v>404.6</v>
      </c>
      <c r="O31" s="689">
        <v>425.6</v>
      </c>
      <c r="P31" s="689">
        <v>442.1</v>
      </c>
      <c r="Q31" s="689"/>
      <c r="R31" s="685">
        <v>0.16743407283381639</v>
      </c>
      <c r="S31" s="685">
        <v>0.11909487892018955</v>
      </c>
      <c r="T31" s="685">
        <v>0.30326004548901775</v>
      </c>
      <c r="U31" s="685">
        <v>-0.24937655860348684</v>
      </c>
      <c r="V31" s="685">
        <v>0</v>
      </c>
      <c r="W31" s="686">
        <v>0.27</v>
      </c>
      <c r="X31" s="687">
        <v>0.65</v>
      </c>
      <c r="Y31" s="687">
        <v>0.19</v>
      </c>
      <c r="Z31" s="687">
        <v>0.42</v>
      </c>
      <c r="AA31" s="687">
        <v>0.6</v>
      </c>
      <c r="AB31" s="687">
        <v>0.96</v>
      </c>
      <c r="AC31" s="686">
        <v>0.37</v>
      </c>
      <c r="AD31" s="686">
        <v>0.52</v>
      </c>
      <c r="AE31" s="686">
        <v>0.45</v>
      </c>
      <c r="AF31" s="692"/>
      <c r="AG31" s="685">
        <v>5.604589585172115</v>
      </c>
      <c r="AH31" s="685">
        <v>5.3907229419139169</v>
      </c>
      <c r="AI31" s="685">
        <v>4.9167327517843029</v>
      </c>
      <c r="AJ31" s="685">
        <v>5.8201058201058142</v>
      </c>
      <c r="AK31" s="685">
        <v>2.3571428571428577</v>
      </c>
      <c r="AL31" s="685">
        <v>3.31</v>
      </c>
      <c r="AM31" s="685">
        <v>4.7300000000000004</v>
      </c>
      <c r="AN31" s="685">
        <v>4.22</v>
      </c>
      <c r="AO31" s="685">
        <v>4.08</v>
      </c>
      <c r="AP31" s="685">
        <v>4.01</v>
      </c>
      <c r="AQ31" s="685">
        <v>5.32</v>
      </c>
      <c r="AR31" s="685">
        <v>9.8000000000000007</v>
      </c>
      <c r="AS31" s="685">
        <v>5.19</v>
      </c>
      <c r="AT31" s="685">
        <v>3.88</v>
      </c>
      <c r="AU31" s="685"/>
    </row>
    <row r="32" spans="2:47">
      <c r="B32" s="669"/>
      <c r="C32" s="669"/>
      <c r="D32" s="669"/>
      <c r="E32" s="669"/>
      <c r="F32" s="669"/>
      <c r="G32" s="669"/>
      <c r="H32" s="669"/>
      <c r="I32" s="669"/>
      <c r="J32" s="669"/>
      <c r="K32" s="669"/>
      <c r="L32" s="669"/>
      <c r="M32" s="669"/>
      <c r="N32" s="669"/>
      <c r="O32" s="669"/>
      <c r="P32" s="669"/>
      <c r="Q32" s="669"/>
      <c r="R32" s="678"/>
      <c r="S32" s="676"/>
      <c r="T32" s="676"/>
      <c r="U32" s="676"/>
      <c r="V32" s="676"/>
      <c r="W32" s="676"/>
      <c r="X32" s="676"/>
      <c r="Y32" s="676"/>
      <c r="Z32" s="676"/>
      <c r="AA32" s="676"/>
      <c r="AB32" s="676"/>
      <c r="AC32" s="676"/>
      <c r="AD32" s="676"/>
      <c r="AE32" s="676"/>
      <c r="AF32" s="676"/>
      <c r="AG32" s="693">
        <f t="shared" ref="AG32:AS32" si="0">AVERAGE(AG9:AG31)</f>
        <v>6.769122930290437</v>
      </c>
      <c r="AH32" s="693">
        <f t="shared" si="0"/>
        <v>5.1993395522556831</v>
      </c>
      <c r="AI32" s="693">
        <f t="shared" si="0"/>
        <v>5.1666108772279644</v>
      </c>
      <c r="AJ32" s="693">
        <f t="shared" si="0"/>
        <v>6.1278125983485028</v>
      </c>
      <c r="AK32" s="693">
        <f t="shared" si="0"/>
        <v>3.1638489617349514</v>
      </c>
      <c r="AL32" s="693">
        <f t="shared" si="0"/>
        <v>2.7252803519988014</v>
      </c>
      <c r="AM32" s="693">
        <f t="shared" si="0"/>
        <v>3.9324999999999997</v>
      </c>
      <c r="AN32" s="693">
        <f t="shared" si="0"/>
        <v>4.3449999999999998</v>
      </c>
      <c r="AO32" s="693">
        <f t="shared" si="0"/>
        <v>4.3649999999999993</v>
      </c>
      <c r="AP32" s="693">
        <f t="shared" si="0"/>
        <v>3.4691666666666663</v>
      </c>
      <c r="AQ32" s="693">
        <f t="shared" si="0"/>
        <v>4.4783333333333335</v>
      </c>
      <c r="AR32" s="693">
        <f t="shared" si="0"/>
        <v>9.0741666666666667</v>
      </c>
      <c r="AS32" s="693">
        <f t="shared" si="0"/>
        <v>6.705000000000001</v>
      </c>
      <c r="AT32" s="693">
        <f>AVERAGE(AT9:AT25)</f>
        <v>4.8277777777777793</v>
      </c>
      <c r="AU32" s="693">
        <f>AVERAGE(AU9:AU25)</f>
        <v>4.47</v>
      </c>
    </row>
    <row r="33" spans="2:47">
      <c r="C33" s="630"/>
      <c r="D33" s="630"/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  <c r="U33" s="626" t="s">
        <v>1093</v>
      </c>
      <c r="AG33" s="632">
        <f t="shared" ref="AG33:AU33" si="1">+AG32/100</f>
        <v>6.7691229302904374E-2</v>
      </c>
      <c r="AH33" s="632">
        <f t="shared" si="1"/>
        <v>5.1993395522556829E-2</v>
      </c>
      <c r="AI33" s="632">
        <f t="shared" si="1"/>
        <v>5.1666108772279645E-2</v>
      </c>
      <c r="AJ33" s="632">
        <f t="shared" si="1"/>
        <v>6.1278125983485025E-2</v>
      </c>
      <c r="AK33" s="633">
        <f t="shared" si="1"/>
        <v>3.1638489617349518E-2</v>
      </c>
      <c r="AL33" s="633">
        <f t="shared" si="1"/>
        <v>2.7252803519988014E-2</v>
      </c>
      <c r="AM33" s="634">
        <f t="shared" si="1"/>
        <v>3.9324999999999999E-2</v>
      </c>
      <c r="AN33" s="634">
        <f t="shared" si="1"/>
        <v>4.3449999999999996E-2</v>
      </c>
      <c r="AO33" s="634">
        <f t="shared" si="1"/>
        <v>4.3649999999999994E-2</v>
      </c>
      <c r="AP33" s="634">
        <f t="shared" si="1"/>
        <v>3.4691666666666662E-2</v>
      </c>
      <c r="AQ33" s="634">
        <f t="shared" si="1"/>
        <v>4.4783333333333335E-2</v>
      </c>
      <c r="AR33" s="634">
        <f t="shared" si="1"/>
        <v>9.0741666666666665E-2</v>
      </c>
      <c r="AS33" s="634">
        <f t="shared" si="1"/>
        <v>6.7050000000000012E-2</v>
      </c>
      <c r="AT33" s="634">
        <f t="shared" si="1"/>
        <v>4.8277777777777794E-2</v>
      </c>
      <c r="AU33" s="634">
        <f t="shared" si="1"/>
        <v>4.4699999999999997E-2</v>
      </c>
    </row>
    <row r="34" spans="2:47" ht="15">
      <c r="B34" s="635" t="s">
        <v>3236</v>
      </c>
      <c r="AN34" s="630"/>
    </row>
    <row r="35" spans="2:47"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AG35" s="626">
        <v>2011</v>
      </c>
      <c r="AH35" s="626">
        <v>2012</v>
      </c>
      <c r="AI35" s="626">
        <v>2013</v>
      </c>
      <c r="AJ35" s="626">
        <v>2014</v>
      </c>
      <c r="AK35" s="626">
        <v>2015</v>
      </c>
      <c r="AL35" s="626">
        <v>2016</v>
      </c>
      <c r="AM35" s="626">
        <v>2017</v>
      </c>
      <c r="AN35" s="626">
        <v>2018</v>
      </c>
      <c r="AO35" s="626">
        <v>2019</v>
      </c>
      <c r="AP35" s="626">
        <v>2020</v>
      </c>
      <c r="AQ35" s="626">
        <v>2021</v>
      </c>
      <c r="AR35" s="626">
        <v>2022</v>
      </c>
      <c r="AS35" s="626">
        <v>2023</v>
      </c>
      <c r="AT35" s="626">
        <v>2024</v>
      </c>
      <c r="AU35" s="626">
        <v>2025</v>
      </c>
    </row>
    <row r="36" spans="2:47">
      <c r="C36" s="636">
        <f t="shared" ref="C36:O36" si="2">AVERAGE(C9:C31)</f>
        <v>235.10833333333335</v>
      </c>
      <c r="D36" s="636">
        <f t="shared" si="2"/>
        <v>247.32499999999996</v>
      </c>
      <c r="E36" s="636">
        <f t="shared" si="2"/>
        <v>260.09166666666664</v>
      </c>
      <c r="F36" s="636">
        <f t="shared" si="2"/>
        <v>276.03333333333336</v>
      </c>
      <c r="G36" s="636">
        <f t="shared" si="2"/>
        <v>284.74999999999994</v>
      </c>
      <c r="H36" s="636">
        <f t="shared" si="2"/>
        <v>292.50833333333338</v>
      </c>
      <c r="I36" s="636">
        <f t="shared" si="2"/>
        <v>304.01666666666659</v>
      </c>
      <c r="J36" s="636">
        <f t="shared" si="2"/>
        <v>317.23333333333329</v>
      </c>
      <c r="K36" s="636">
        <f t="shared" si="2"/>
        <v>331.08333333333331</v>
      </c>
      <c r="L36" s="636">
        <f t="shared" si="2"/>
        <v>342.56666666666666</v>
      </c>
      <c r="M36" s="636">
        <f t="shared" si="2"/>
        <v>357.91666666666669</v>
      </c>
      <c r="N36" s="636">
        <f t="shared" si="2"/>
        <v>390.45</v>
      </c>
      <c r="O36" s="636">
        <f t="shared" si="2"/>
        <v>416.46666666666664</v>
      </c>
      <c r="P36" s="636">
        <f>AVERAGE(P9:P31)</f>
        <v>435.65000000000009</v>
      </c>
      <c r="Q36" s="636">
        <f>AVERAGE(Q9:Q31)</f>
        <v>454.16</v>
      </c>
      <c r="U36" s="631"/>
      <c r="V36" s="631"/>
      <c r="W36" s="631"/>
      <c r="X36" s="631"/>
      <c r="Y36" s="631"/>
      <c r="Z36" s="631"/>
      <c r="AA36" s="631"/>
      <c r="AB36" s="631"/>
      <c r="AG36" s="637">
        <f>(1+AG33+AH33+AI33+AJ33+AK33+AL33+AM33+AN33)</f>
        <v>1.3742951527185634</v>
      </c>
      <c r="AH36" s="637">
        <f>(1+AH33+AI33+AJ33+AK33+AL33+AM33+AN33)</f>
        <v>1.306603923415659</v>
      </c>
      <c r="AI36" s="637">
        <f>(1+AI33+AJ33+AK33+AL33+AM33+AN33)</f>
        <v>1.2546105278931021</v>
      </c>
      <c r="AJ36" s="637">
        <f>(1+AJ33+AK33+AL33+AM33+AN33)</f>
        <v>1.2029444191208225</v>
      </c>
      <c r="AK36" s="637">
        <f>(1+AK33+AL33+AM33+AN33)</f>
        <v>1.1416662931373376</v>
      </c>
      <c r="AL36" s="637">
        <f t="shared" ref="AL36:AR36" si="3">(1+AL33)</f>
        <v>1.0272528035199879</v>
      </c>
      <c r="AM36" s="637">
        <f t="shared" si="3"/>
        <v>1.0393250000000001</v>
      </c>
      <c r="AN36" s="637">
        <f t="shared" si="3"/>
        <v>1.04345</v>
      </c>
      <c r="AO36" s="637">
        <f t="shared" si="3"/>
        <v>1.04365</v>
      </c>
      <c r="AP36" s="637">
        <f t="shared" si="3"/>
        <v>1.0346916666666666</v>
      </c>
      <c r="AQ36" s="637">
        <f t="shared" si="3"/>
        <v>1.0447833333333334</v>
      </c>
      <c r="AR36" s="637">
        <f t="shared" si="3"/>
        <v>1.0907416666666667</v>
      </c>
      <c r="AS36" s="637">
        <f>(1+AS33)</f>
        <v>1.0670500000000001</v>
      </c>
      <c r="AT36" s="637">
        <f t="shared" ref="AT36:AU36" si="4">(1+AT33)</f>
        <v>1.0482777777777779</v>
      </c>
      <c r="AU36" s="637">
        <f t="shared" si="4"/>
        <v>1.0447</v>
      </c>
    </row>
    <row r="37" spans="2:47">
      <c r="D37" s="638">
        <f>+D36/$C$36</f>
        <v>1.0519618615531845</v>
      </c>
      <c r="E37" s="638">
        <f>+E36/$C$36</f>
        <v>1.1062630702158578</v>
      </c>
      <c r="F37" s="638">
        <f>+F36/$C$36</f>
        <v>1.1740686917378513</v>
      </c>
      <c r="G37" s="638">
        <f>G36/C36</f>
        <v>1.2111437989579268</v>
      </c>
      <c r="H37" s="638">
        <f>H36/C36</f>
        <v>1.2441427710629853</v>
      </c>
      <c r="I37" s="638">
        <f>I36/C36</f>
        <v>1.2930918370963735</v>
      </c>
      <c r="J37" s="638">
        <f>J36/C36</f>
        <v>1.3493070570304466</v>
      </c>
      <c r="K37" s="638">
        <f>K36/C36</f>
        <v>1.4082160706057489</v>
      </c>
      <c r="L37" s="638">
        <f t="shared" ref="L37:Q37" si="5">L36/$C$36</f>
        <v>1.4570588026796156</v>
      </c>
      <c r="M37" s="638">
        <f t="shared" si="5"/>
        <v>1.5223478538262503</v>
      </c>
      <c r="N37" s="638">
        <f t="shared" si="5"/>
        <v>1.6607237798178143</v>
      </c>
      <c r="O37" s="638">
        <f t="shared" si="5"/>
        <v>1.7713819870272567</v>
      </c>
      <c r="P37" s="638">
        <f t="shared" si="5"/>
        <v>1.8529755786339632</v>
      </c>
      <c r="Q37" s="638">
        <f t="shared" si="5"/>
        <v>1.9317052422642045</v>
      </c>
    </row>
    <row r="38" spans="2:47">
      <c r="E38" s="636"/>
    </row>
    <row r="39" spans="2:47">
      <c r="AG39" s="639"/>
    </row>
    <row r="40" spans="2:47">
      <c r="D40" s="627">
        <v>2011</v>
      </c>
      <c r="E40" s="627">
        <v>2012</v>
      </c>
      <c r="F40" s="627">
        <v>2013</v>
      </c>
      <c r="G40" s="627">
        <v>2014</v>
      </c>
      <c r="H40" s="627">
        <v>2015</v>
      </c>
      <c r="I40" s="627">
        <v>2016</v>
      </c>
      <c r="J40" s="627">
        <v>2017</v>
      </c>
      <c r="K40" s="627">
        <v>2018</v>
      </c>
      <c r="L40" s="627">
        <v>2019</v>
      </c>
      <c r="M40" s="627">
        <v>2020</v>
      </c>
      <c r="N40" s="627">
        <v>2021</v>
      </c>
      <c r="O40" s="627">
        <v>2022</v>
      </c>
      <c r="P40" s="627">
        <v>2023</v>
      </c>
      <c r="Q40" s="627">
        <v>2024</v>
      </c>
      <c r="R40" s="627">
        <v>2025</v>
      </c>
    </row>
    <row r="41" spans="2:47">
      <c r="D41" s="638">
        <f>+D31/C31</f>
        <v>1.0539072294191392</v>
      </c>
      <c r="E41" s="638">
        <f>+E31/C31</f>
        <v>1.1057250313414124</v>
      </c>
      <c r="F41" s="638">
        <f>+F31/C31</f>
        <v>1.1700793982448809</v>
      </c>
      <c r="G41" s="638">
        <f>G31/C31</f>
        <v>1.1976598412035102</v>
      </c>
      <c r="H41" s="638">
        <f>H31/C31</f>
        <v>1.2373589636439617</v>
      </c>
      <c r="I41" s="640">
        <f>I31/C31</f>
        <v>1.2958629335562057</v>
      </c>
      <c r="J41" s="640">
        <f>J31/C31</f>
        <v>1.350605933974091</v>
      </c>
      <c r="K41" s="640">
        <f>K31/C31</f>
        <v>1.4057668198913496</v>
      </c>
      <c r="L41" s="640">
        <f>L31/C31</f>
        <v>1.4621813623067277</v>
      </c>
      <c r="M41" s="640">
        <f>M31/C31</f>
        <v>1.5399080651901378</v>
      </c>
      <c r="N41" s="640">
        <f>N31/C31</f>
        <v>1.6907647304638529</v>
      </c>
      <c r="O41" s="640">
        <f>O31/C31</f>
        <v>1.7785206853322191</v>
      </c>
      <c r="P41" s="640">
        <f>P31/C31</f>
        <v>1.8474717927287923</v>
      </c>
      <c r="Q41" s="640">
        <f>P31/C31</f>
        <v>1.8474717927287923</v>
      </c>
      <c r="R41" s="640">
        <f>Q27/C27</f>
        <v>1.9365546218487395</v>
      </c>
      <c r="AG41" s="639"/>
    </row>
    <row r="43" spans="2:47" ht="16.2" thickBot="1">
      <c r="D43" s="641"/>
      <c r="N43" s="814" t="s">
        <v>3239</v>
      </c>
      <c r="O43" s="814"/>
      <c r="P43" s="814"/>
      <c r="Q43" s="666"/>
      <c r="AG43" s="642"/>
      <c r="AH43" s="643"/>
      <c r="AI43" s="643"/>
      <c r="AJ43" s="643"/>
    </row>
    <row r="44" spans="2:47" ht="15.6">
      <c r="N44" s="665">
        <v>2011</v>
      </c>
      <c r="O44" s="694">
        <f>+P36/C36</f>
        <v>1.8529755786339632</v>
      </c>
      <c r="P44" s="665">
        <v>2024</v>
      </c>
      <c r="Q44" s="665"/>
      <c r="AG44" s="643"/>
      <c r="AH44" s="643"/>
      <c r="AI44" s="643"/>
      <c r="AJ44" s="643"/>
    </row>
    <row r="45" spans="2:47" ht="15.6">
      <c r="N45" s="665">
        <f>+N44+1</f>
        <v>2012</v>
      </c>
      <c r="O45" s="694">
        <f>+P36/D36</f>
        <v>1.7614474881229158</v>
      </c>
      <c r="P45" s="665">
        <v>2024</v>
      </c>
      <c r="Q45" s="665"/>
      <c r="AG45" s="643"/>
      <c r="AH45" s="643"/>
      <c r="AI45" s="643"/>
      <c r="AJ45" s="643"/>
    </row>
    <row r="46" spans="2:47" ht="15.6">
      <c r="N46" s="665">
        <f t="shared" ref="N46:N57" si="6">+N45+1</f>
        <v>2013</v>
      </c>
      <c r="O46" s="694">
        <f>+P36/E36</f>
        <v>1.6749863830059919</v>
      </c>
      <c r="P46" s="665">
        <v>2024</v>
      </c>
      <c r="Q46" s="665"/>
      <c r="AG46" s="643"/>
      <c r="AH46" s="643"/>
      <c r="AI46" s="643"/>
      <c r="AJ46" s="643"/>
    </row>
    <row r="47" spans="2:47" ht="15.6">
      <c r="N47" s="665">
        <f t="shared" si="6"/>
        <v>2014</v>
      </c>
      <c r="O47" s="694">
        <f>+P36/F36</f>
        <v>1.5782514189107597</v>
      </c>
      <c r="P47" s="665">
        <v>2024</v>
      </c>
      <c r="Q47" s="665"/>
      <c r="AG47" s="643"/>
      <c r="AH47" s="643"/>
      <c r="AI47" s="643"/>
      <c r="AJ47" s="643"/>
    </row>
    <row r="48" spans="2:47" ht="15.6">
      <c r="N48" s="665">
        <f t="shared" si="6"/>
        <v>2015</v>
      </c>
      <c r="O48" s="694">
        <f>+P36/G36</f>
        <v>1.5299385425812122</v>
      </c>
      <c r="P48" s="665">
        <v>2024</v>
      </c>
      <c r="Q48" s="665"/>
      <c r="AG48" s="643"/>
      <c r="AH48" s="643"/>
      <c r="AI48" s="643"/>
      <c r="AJ48" s="643"/>
    </row>
    <row r="49" spans="3:36" ht="15.6">
      <c r="N49" s="665">
        <f t="shared" si="6"/>
        <v>2016</v>
      </c>
      <c r="O49" s="694">
        <f>+P36/H36</f>
        <v>1.4893592775134612</v>
      </c>
      <c r="P49" s="665">
        <v>2024</v>
      </c>
      <c r="Q49" s="665"/>
      <c r="AG49" s="643"/>
      <c r="AH49" s="643"/>
      <c r="AI49" s="643"/>
      <c r="AJ49" s="643"/>
    </row>
    <row r="50" spans="3:36" ht="15.6">
      <c r="N50" s="665">
        <f t="shared" si="6"/>
        <v>2017</v>
      </c>
      <c r="O50" s="694">
        <f>+P36/I36</f>
        <v>1.4329806479907907</v>
      </c>
      <c r="P50" s="665">
        <v>2024</v>
      </c>
      <c r="Q50" s="665"/>
      <c r="AG50" s="643"/>
      <c r="AH50" s="643"/>
      <c r="AI50" s="643"/>
      <c r="AJ50" s="643"/>
    </row>
    <row r="51" spans="3:36" ht="15.6">
      <c r="N51" s="665">
        <f t="shared" si="6"/>
        <v>2018</v>
      </c>
      <c r="O51" s="694">
        <f>+P36/J36</f>
        <v>1.373279394767259</v>
      </c>
      <c r="P51" s="665">
        <v>2024</v>
      </c>
      <c r="Q51" s="665"/>
      <c r="AG51" s="643"/>
      <c r="AH51" s="643"/>
      <c r="AI51" s="643"/>
      <c r="AJ51" s="643"/>
    </row>
    <row r="52" spans="3:36" ht="15.6">
      <c r="N52" s="665">
        <f t="shared" si="6"/>
        <v>2019</v>
      </c>
      <c r="O52" s="694">
        <f>+P36/K36</f>
        <v>1.3158318650893535</v>
      </c>
      <c r="P52" s="665">
        <v>2024</v>
      </c>
      <c r="Q52" s="665"/>
      <c r="AG52" s="643"/>
      <c r="AH52" s="643"/>
      <c r="AI52" s="643"/>
      <c r="AJ52" s="643"/>
    </row>
    <row r="53" spans="3:36" ht="15.6">
      <c r="N53" s="665">
        <f t="shared" si="6"/>
        <v>2020</v>
      </c>
      <c r="O53" s="694">
        <f>+P36/L36</f>
        <v>1.2717232655444199</v>
      </c>
      <c r="P53" s="665">
        <v>2024</v>
      </c>
      <c r="Q53" s="665"/>
      <c r="AG53" s="643"/>
      <c r="AH53" s="643"/>
      <c r="AI53" s="643"/>
      <c r="AJ53" s="643"/>
    </row>
    <row r="54" spans="3:36" ht="15.6">
      <c r="N54" s="665">
        <f t="shared" si="6"/>
        <v>2021</v>
      </c>
      <c r="O54" s="694">
        <f>+P36/M36</f>
        <v>1.2171827706635625</v>
      </c>
      <c r="P54" s="665">
        <v>2024</v>
      </c>
      <c r="Q54" s="665"/>
      <c r="AG54" s="643"/>
      <c r="AH54" s="643"/>
      <c r="AI54" s="643"/>
      <c r="AJ54" s="643"/>
    </row>
    <row r="55" spans="3:36" ht="15.6">
      <c r="C55" s="629"/>
      <c r="D55" s="629"/>
      <c r="E55" s="629"/>
      <c r="F55" s="629"/>
      <c r="G55" s="629"/>
      <c r="H55" s="629"/>
      <c r="I55" s="629"/>
      <c r="J55" s="629"/>
      <c r="K55" s="629"/>
      <c r="L55" s="629"/>
      <c r="M55" s="629"/>
      <c r="N55" s="665">
        <f t="shared" si="6"/>
        <v>2022</v>
      </c>
      <c r="O55" s="694">
        <f>+P36/N36</f>
        <v>1.1157638622102706</v>
      </c>
      <c r="P55" s="665">
        <v>2024</v>
      </c>
      <c r="Q55" s="665"/>
      <c r="AG55" s="643"/>
      <c r="AH55" s="643"/>
      <c r="AI55" s="643"/>
      <c r="AJ55" s="643"/>
    </row>
    <row r="56" spans="3:36" ht="15.6">
      <c r="C56" s="629"/>
      <c r="D56" s="629"/>
      <c r="E56" s="629"/>
      <c r="F56" s="629"/>
      <c r="G56" s="629"/>
      <c r="H56" s="629"/>
      <c r="I56" s="629"/>
      <c r="J56" s="629"/>
      <c r="K56" s="629"/>
      <c r="L56" s="629"/>
      <c r="M56" s="629"/>
      <c r="N56" s="665">
        <f t="shared" si="6"/>
        <v>2023</v>
      </c>
      <c r="O56" s="694">
        <f>+P36/O36</f>
        <v>1.0460621098127103</v>
      </c>
      <c r="P56" s="665">
        <v>2024</v>
      </c>
      <c r="Q56" s="665"/>
      <c r="AG56" s="643"/>
      <c r="AH56" s="643"/>
      <c r="AI56" s="643"/>
      <c r="AJ56" s="643"/>
    </row>
    <row r="57" spans="3:36" ht="15.6">
      <c r="N57" s="665">
        <f t="shared" si="6"/>
        <v>2024</v>
      </c>
      <c r="O57" s="694">
        <f>+P36/P36</f>
        <v>1</v>
      </c>
      <c r="P57" s="665">
        <v>2024</v>
      </c>
      <c r="Q57" s="665"/>
      <c r="AG57" s="643"/>
      <c r="AH57" s="643"/>
      <c r="AI57" s="643"/>
      <c r="AJ57" s="643"/>
    </row>
    <row r="58" spans="3:36" ht="15.6">
      <c r="N58" s="665">
        <v>2025</v>
      </c>
      <c r="O58" s="694">
        <f>+Q37/Q37</f>
        <v>1</v>
      </c>
      <c r="P58" s="665">
        <v>2025</v>
      </c>
      <c r="Q58" s="665"/>
      <c r="AG58" s="643"/>
      <c r="AH58" s="643"/>
      <c r="AI58" s="643"/>
      <c r="AJ58" s="643"/>
    </row>
    <row r="59" spans="3:36" ht="15.6">
      <c r="AG59" s="643"/>
      <c r="AH59" s="643"/>
      <c r="AI59" s="643"/>
      <c r="AJ59" s="643"/>
    </row>
    <row r="60" spans="3:36" ht="15.6">
      <c r="AG60" s="643"/>
      <c r="AH60" s="643"/>
      <c r="AI60" s="643"/>
      <c r="AJ60" s="643"/>
    </row>
    <row r="61" spans="3:36" ht="15.6">
      <c r="AG61" s="643"/>
      <c r="AH61" s="643"/>
      <c r="AI61" s="643"/>
      <c r="AJ61" s="643"/>
    </row>
  </sheetData>
  <mergeCells count="23">
    <mergeCell ref="AG6:AU6"/>
    <mergeCell ref="B1:AJ1"/>
    <mergeCell ref="B2:AJ2"/>
    <mergeCell ref="B3:AJ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R5:AT5"/>
    <mergeCell ref="R6:AF6"/>
    <mergeCell ref="Q5:Q7"/>
    <mergeCell ref="N43:P43"/>
    <mergeCell ref="M5:M7"/>
    <mergeCell ref="N5:N7"/>
    <mergeCell ref="O5:O7"/>
    <mergeCell ref="P5:P7"/>
  </mergeCells>
  <printOptions horizontalCentered="1"/>
  <pageMargins left="0.59055118110236227" right="0.59055118110236227" top="0.98425196850393704" bottom="0.98425196850393704" header="0" footer="0"/>
  <pageSetup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3"/>
  <sheetViews>
    <sheetView showGridLines="0" workbookViewId="0">
      <selection activeCell="A10" sqref="A10"/>
    </sheetView>
  </sheetViews>
  <sheetFormatPr baseColWidth="10" defaultColWidth="11.44140625" defaultRowHeight="14.4"/>
  <cols>
    <col min="1" max="1" width="29.109375" style="72" bestFit="1" customWidth="1"/>
    <col min="2" max="2" width="24.6640625" style="72" bestFit="1" customWidth="1"/>
    <col min="3" max="3" width="52.88671875" style="72" bestFit="1" customWidth="1"/>
    <col min="4" max="4" width="27.5546875" style="72" customWidth="1"/>
    <col min="5" max="5" width="23.33203125" style="72" customWidth="1"/>
    <col min="6" max="6" width="12.44140625" style="72" customWidth="1"/>
    <col min="7" max="7" width="14.109375" style="72" customWidth="1"/>
    <col min="8" max="8" width="13.6640625" style="72" customWidth="1"/>
    <col min="9" max="9" width="14.109375" style="72" customWidth="1"/>
    <col min="10" max="10" width="13.88671875" style="72" customWidth="1"/>
    <col min="11" max="11" width="14.88671875" style="72" customWidth="1"/>
    <col min="12" max="12" width="16" style="72" customWidth="1"/>
    <col min="13" max="13" width="16.88671875" style="72" customWidth="1"/>
    <col min="14" max="14" width="17.5546875" style="72" customWidth="1"/>
    <col min="15" max="15" width="20.109375" style="201" bestFit="1" customWidth="1"/>
    <col min="16" max="16" width="13" style="72" bestFit="1" customWidth="1"/>
    <col min="17" max="16384" width="11.44140625" style="72"/>
  </cols>
  <sheetData>
    <row r="1" spans="1:16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6" ht="18.600000000000001" thickBot="1">
      <c r="A2" s="202" t="s">
        <v>0</v>
      </c>
      <c r="B2" s="149"/>
      <c r="C2" s="203" t="s">
        <v>1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  <c r="N2" s="145"/>
      <c r="O2" s="206"/>
    </row>
    <row r="3" spans="1:16" ht="18.600000000000001" thickBot="1">
      <c r="A3" s="742" t="s">
        <v>2</v>
      </c>
      <c r="B3" s="743"/>
      <c r="C3" s="203" t="s">
        <v>612</v>
      </c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16" ht="18.600000000000001" thickBot="1">
      <c r="A4" s="745" t="s">
        <v>4</v>
      </c>
      <c r="B4" s="746"/>
      <c r="C4" s="207">
        <v>19.185400000000001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6" ht="32.25" customHeight="1" thickBot="1">
      <c r="A5" s="749" t="s">
        <v>5</v>
      </c>
      <c r="B5" s="750"/>
      <c r="C5" s="208" t="s">
        <v>613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6" ht="18.600000000000001" thickBot="1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</row>
    <row r="7" spans="1:16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16" ht="18.600000000000001" thickBot="1">
      <c r="A8" s="739" t="s">
        <v>614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1"/>
      <c r="O8" s="210" t="s">
        <v>1090</v>
      </c>
      <c r="P8" s="211">
        <f>'BURNING COST'!F8</f>
        <v>721704</v>
      </c>
    </row>
    <row r="9" spans="1:16" ht="29.4" thickBot="1">
      <c r="A9" s="212" t="s">
        <v>9</v>
      </c>
      <c r="B9" s="213" t="s">
        <v>10</v>
      </c>
      <c r="C9" s="213" t="s">
        <v>11</v>
      </c>
      <c r="D9" s="213" t="s">
        <v>12</v>
      </c>
      <c r="E9" s="213" t="s">
        <v>13</v>
      </c>
      <c r="F9" s="214" t="s">
        <v>14</v>
      </c>
      <c r="G9" s="213" t="s">
        <v>15</v>
      </c>
      <c r="H9" s="213" t="s">
        <v>16</v>
      </c>
      <c r="I9" s="212" t="s">
        <v>17</v>
      </c>
      <c r="J9" s="214" t="s">
        <v>18</v>
      </c>
      <c r="K9" s="213" t="s">
        <v>19</v>
      </c>
      <c r="L9" s="213" t="s">
        <v>20</v>
      </c>
      <c r="M9" s="158" t="s">
        <v>21</v>
      </c>
      <c r="N9" s="159"/>
      <c r="O9" s="215" t="s">
        <v>1091</v>
      </c>
      <c r="P9" s="216"/>
    </row>
    <row r="10" spans="1:16">
      <c r="A10" s="217" t="s">
        <v>615</v>
      </c>
      <c r="B10" s="218" t="s">
        <v>616</v>
      </c>
      <c r="C10" s="219" t="s">
        <v>617</v>
      </c>
      <c r="D10" s="219" t="s">
        <v>618</v>
      </c>
      <c r="E10" s="220" t="s">
        <v>33</v>
      </c>
      <c r="F10" s="221">
        <v>40603</v>
      </c>
      <c r="G10" s="222">
        <v>40619</v>
      </c>
      <c r="H10" s="222">
        <v>40647</v>
      </c>
      <c r="I10" s="223">
        <v>100000</v>
      </c>
      <c r="J10" s="223"/>
      <c r="K10" s="223"/>
      <c r="L10" s="224"/>
      <c r="M10" s="223"/>
      <c r="O10" s="225"/>
    </row>
    <row r="11" spans="1:16">
      <c r="A11" s="217" t="s">
        <v>619</v>
      </c>
      <c r="B11" s="226" t="s">
        <v>616</v>
      </c>
      <c r="C11" s="219" t="s">
        <v>617</v>
      </c>
      <c r="D11" s="219" t="s">
        <v>618</v>
      </c>
      <c r="E11" s="220" t="s">
        <v>33</v>
      </c>
      <c r="F11" s="227">
        <v>40603</v>
      </c>
      <c r="G11" s="228">
        <v>40619</v>
      </c>
      <c r="H11" s="229">
        <v>40647</v>
      </c>
      <c r="I11" s="230">
        <v>35447.199999999997</v>
      </c>
      <c r="J11" s="230">
        <f>+I11+I10</f>
        <v>135447.20000000001</v>
      </c>
      <c r="K11" s="230">
        <v>118900</v>
      </c>
      <c r="L11" s="224">
        <f>+J11-K11</f>
        <v>16547.200000000012</v>
      </c>
      <c r="M11" s="230"/>
      <c r="O11" s="231">
        <f>IF($J11&gt;P$8,$J11-P$8,0)</f>
        <v>0</v>
      </c>
    </row>
    <row r="12" spans="1:16">
      <c r="A12" s="217" t="s">
        <v>620</v>
      </c>
      <c r="B12" s="226" t="s">
        <v>621</v>
      </c>
      <c r="C12" s="219" t="s">
        <v>622</v>
      </c>
      <c r="D12" s="219" t="s">
        <v>38</v>
      </c>
      <c r="E12" s="220" t="s">
        <v>33</v>
      </c>
      <c r="F12" s="227">
        <v>40824</v>
      </c>
      <c r="G12" s="228">
        <v>40844</v>
      </c>
      <c r="H12" s="229">
        <v>40875</v>
      </c>
      <c r="I12" s="230">
        <v>48529.91</v>
      </c>
      <c r="J12" s="230"/>
      <c r="K12" s="230"/>
      <c r="L12" s="224"/>
      <c r="M12" s="230"/>
      <c r="O12" s="231">
        <f t="shared" ref="O12:O75" si="0">IF($J12&gt;P$8,$J12-P$8,0)</f>
        <v>0</v>
      </c>
    </row>
    <row r="13" spans="1:16">
      <c r="A13" s="219" t="s">
        <v>623</v>
      </c>
      <c r="B13" s="226" t="s">
        <v>616</v>
      </c>
      <c r="C13" s="219" t="s">
        <v>622</v>
      </c>
      <c r="D13" s="219" t="s">
        <v>38</v>
      </c>
      <c r="E13" s="232" t="s">
        <v>33</v>
      </c>
      <c r="F13" s="221">
        <v>40824</v>
      </c>
      <c r="G13" s="222">
        <v>40844</v>
      </c>
      <c r="H13" s="222">
        <v>40875</v>
      </c>
      <c r="I13" s="230">
        <v>117000</v>
      </c>
      <c r="J13" s="230">
        <f>+I13+I12</f>
        <v>165529.91</v>
      </c>
      <c r="K13" s="230">
        <v>118900</v>
      </c>
      <c r="L13" s="224">
        <f>+J13-K13</f>
        <v>46629.91</v>
      </c>
      <c r="M13" s="230"/>
      <c r="O13" s="231">
        <f t="shared" si="0"/>
        <v>0</v>
      </c>
    </row>
    <row r="14" spans="1:16">
      <c r="A14" s="219" t="s">
        <v>624</v>
      </c>
      <c r="B14" s="226" t="s">
        <v>621</v>
      </c>
      <c r="C14" s="219" t="s">
        <v>625</v>
      </c>
      <c r="D14" s="219" t="s">
        <v>626</v>
      </c>
      <c r="E14" s="232" t="s">
        <v>33</v>
      </c>
      <c r="F14" s="221">
        <v>40800</v>
      </c>
      <c r="G14" s="222">
        <v>40851</v>
      </c>
      <c r="H14" s="222">
        <v>40863</v>
      </c>
      <c r="I14" s="230">
        <v>50536.19</v>
      </c>
      <c r="J14" s="230"/>
      <c r="K14" s="230"/>
      <c r="L14" s="224"/>
      <c r="M14" s="230"/>
      <c r="O14" s="231">
        <f t="shared" si="0"/>
        <v>0</v>
      </c>
    </row>
    <row r="15" spans="1:16">
      <c r="A15" s="219" t="s">
        <v>627</v>
      </c>
      <c r="B15" s="218" t="s">
        <v>616</v>
      </c>
      <c r="C15" s="219" t="s">
        <v>625</v>
      </c>
      <c r="D15" s="219" t="s">
        <v>626</v>
      </c>
      <c r="E15" s="220" t="s">
        <v>33</v>
      </c>
      <c r="F15" s="221">
        <v>40800</v>
      </c>
      <c r="G15" s="222">
        <v>40851</v>
      </c>
      <c r="H15" s="222">
        <v>40863</v>
      </c>
      <c r="I15" s="230">
        <v>98610.52</v>
      </c>
      <c r="J15" s="230">
        <f>+I15+I14</f>
        <v>149146.71000000002</v>
      </c>
      <c r="K15" s="230">
        <v>118900</v>
      </c>
      <c r="L15" s="224">
        <f>+J15-K15</f>
        <v>30246.710000000021</v>
      </c>
      <c r="M15" s="233"/>
      <c r="O15" s="231">
        <f t="shared" si="0"/>
        <v>0</v>
      </c>
    </row>
    <row r="16" spans="1:16">
      <c r="A16" s="219" t="s">
        <v>628</v>
      </c>
      <c r="B16" s="218" t="s">
        <v>616</v>
      </c>
      <c r="C16" s="219" t="s">
        <v>629</v>
      </c>
      <c r="D16" s="219" t="s">
        <v>38</v>
      </c>
      <c r="E16" s="220" t="s">
        <v>33</v>
      </c>
      <c r="F16" s="221">
        <v>40751</v>
      </c>
      <c r="G16" s="222">
        <v>40788</v>
      </c>
      <c r="H16" s="222">
        <v>40799</v>
      </c>
      <c r="I16" s="230">
        <v>23858.25</v>
      </c>
      <c r="J16" s="230"/>
      <c r="K16" s="230"/>
      <c r="L16" s="224"/>
      <c r="M16" s="233"/>
      <c r="O16" s="231">
        <f t="shared" si="0"/>
        <v>0</v>
      </c>
    </row>
    <row r="17" spans="1:15">
      <c r="A17" s="219" t="s">
        <v>630</v>
      </c>
      <c r="B17" s="218" t="s">
        <v>616</v>
      </c>
      <c r="C17" s="219" t="s">
        <v>629</v>
      </c>
      <c r="D17" s="219" t="s">
        <v>38</v>
      </c>
      <c r="E17" s="220" t="s">
        <v>33</v>
      </c>
      <c r="F17" s="221">
        <v>40751</v>
      </c>
      <c r="G17" s="222">
        <v>40812</v>
      </c>
      <c r="H17" s="222">
        <v>40814</v>
      </c>
      <c r="I17" s="230">
        <v>47527.26</v>
      </c>
      <c r="J17" s="230"/>
      <c r="K17" s="230"/>
      <c r="L17" s="224"/>
      <c r="M17" s="233"/>
      <c r="O17" s="231">
        <f t="shared" si="0"/>
        <v>0</v>
      </c>
    </row>
    <row r="18" spans="1:15">
      <c r="A18" s="219" t="s">
        <v>631</v>
      </c>
      <c r="B18" s="218" t="s">
        <v>621</v>
      </c>
      <c r="C18" s="219" t="s">
        <v>629</v>
      </c>
      <c r="D18" s="219" t="s">
        <v>38</v>
      </c>
      <c r="E18" s="220" t="s">
        <v>33</v>
      </c>
      <c r="F18" s="221">
        <v>40751</v>
      </c>
      <c r="G18" s="222">
        <v>40812</v>
      </c>
      <c r="H18" s="222">
        <v>40814</v>
      </c>
      <c r="I18" s="230">
        <v>55000</v>
      </c>
      <c r="J18" s="230">
        <f>+I18+I17+I16</f>
        <v>126385.51000000001</v>
      </c>
      <c r="K18" s="230">
        <v>118900</v>
      </c>
      <c r="L18" s="224">
        <f>+J18-K18</f>
        <v>7485.5100000000093</v>
      </c>
      <c r="M18" s="233"/>
      <c r="O18" s="231">
        <f t="shared" si="0"/>
        <v>0</v>
      </c>
    </row>
    <row r="19" spans="1:15">
      <c r="A19" s="234" t="s">
        <v>1112</v>
      </c>
      <c r="B19" s="218" t="s">
        <v>621</v>
      </c>
      <c r="C19" s="219" t="s">
        <v>1165</v>
      </c>
      <c r="D19" s="219" t="s">
        <v>54</v>
      </c>
      <c r="E19" s="220" t="s">
        <v>33</v>
      </c>
      <c r="F19" s="235">
        <v>40906</v>
      </c>
      <c r="G19" s="236">
        <v>40921</v>
      </c>
      <c r="H19" s="236">
        <v>40945</v>
      </c>
      <c r="I19" s="230">
        <v>115000</v>
      </c>
      <c r="J19" s="237"/>
      <c r="K19" s="237"/>
      <c r="L19" s="238"/>
      <c r="M19" s="233"/>
      <c r="O19" s="231">
        <f t="shared" si="0"/>
        <v>0</v>
      </c>
    </row>
    <row r="20" spans="1:15">
      <c r="A20" s="234" t="s">
        <v>1098</v>
      </c>
      <c r="B20" s="218" t="s">
        <v>616</v>
      </c>
      <c r="C20" s="219" t="s">
        <v>1165</v>
      </c>
      <c r="D20" s="219" t="s">
        <v>54</v>
      </c>
      <c r="E20" s="220" t="s">
        <v>33</v>
      </c>
      <c r="F20" s="239">
        <v>40906</v>
      </c>
      <c r="G20" s="236">
        <v>40921</v>
      </c>
      <c r="H20" s="236">
        <v>40945</v>
      </c>
      <c r="I20" s="230">
        <v>268000</v>
      </c>
      <c r="J20" s="237"/>
      <c r="K20" s="237"/>
      <c r="L20" s="238"/>
      <c r="M20" s="233"/>
      <c r="O20" s="231">
        <f t="shared" si="0"/>
        <v>0</v>
      </c>
    </row>
    <row r="21" spans="1:15">
      <c r="A21" s="234" t="s">
        <v>1113</v>
      </c>
      <c r="B21" s="218" t="s">
        <v>646</v>
      </c>
      <c r="C21" s="219" t="s">
        <v>1165</v>
      </c>
      <c r="D21" s="219" t="s">
        <v>54</v>
      </c>
      <c r="E21" s="220" t="s">
        <v>33</v>
      </c>
      <c r="F21" s="239">
        <v>40906</v>
      </c>
      <c r="G21" s="236">
        <v>40953</v>
      </c>
      <c r="H21" s="236">
        <v>40966</v>
      </c>
      <c r="I21" s="230">
        <v>20000</v>
      </c>
      <c r="J21" s="237">
        <f>+I21+I20+I19</f>
        <v>403000</v>
      </c>
      <c r="K21" s="237">
        <v>118900</v>
      </c>
      <c r="L21" s="238">
        <f>+J21-K21</f>
        <v>284100</v>
      </c>
      <c r="M21" s="233"/>
      <c r="O21" s="231">
        <f t="shared" si="0"/>
        <v>0</v>
      </c>
    </row>
    <row r="22" spans="1:15">
      <c r="A22" s="219" t="s">
        <v>632</v>
      </c>
      <c r="B22" s="218" t="s">
        <v>621</v>
      </c>
      <c r="C22" s="219" t="s">
        <v>633</v>
      </c>
      <c r="D22" s="219" t="s">
        <v>38</v>
      </c>
      <c r="E22" s="220" t="s">
        <v>33</v>
      </c>
      <c r="F22" s="227">
        <v>40663</v>
      </c>
      <c r="G22" s="222">
        <v>40681</v>
      </c>
      <c r="H22" s="222">
        <v>40689</v>
      </c>
      <c r="I22" s="230">
        <v>66936.69</v>
      </c>
      <c r="J22" s="230"/>
      <c r="K22" s="230"/>
      <c r="L22" s="224"/>
      <c r="M22" s="233"/>
      <c r="O22" s="231">
        <f t="shared" si="0"/>
        <v>0</v>
      </c>
    </row>
    <row r="23" spans="1:15">
      <c r="A23" s="234" t="s">
        <v>634</v>
      </c>
      <c r="B23" s="218" t="s">
        <v>616</v>
      </c>
      <c r="C23" s="219" t="s">
        <v>633</v>
      </c>
      <c r="D23" s="219" t="s">
        <v>38</v>
      </c>
      <c r="E23" s="220" t="s">
        <v>33</v>
      </c>
      <c r="F23" s="239">
        <v>40663</v>
      </c>
      <c r="G23" s="236">
        <v>40681</v>
      </c>
      <c r="H23" s="236">
        <v>40689</v>
      </c>
      <c r="I23" s="230">
        <v>160580.59</v>
      </c>
      <c r="J23" s="230">
        <f>+I23+I22</f>
        <v>227517.28</v>
      </c>
      <c r="K23" s="230">
        <v>118900</v>
      </c>
      <c r="L23" s="224">
        <f>+J23-K23</f>
        <v>108617.28</v>
      </c>
      <c r="M23" s="233"/>
      <c r="O23" s="231">
        <f t="shared" si="0"/>
        <v>0</v>
      </c>
    </row>
    <row r="24" spans="1:15">
      <c r="A24" s="234" t="s">
        <v>635</v>
      </c>
      <c r="B24" s="218" t="s">
        <v>621</v>
      </c>
      <c r="C24" s="219" t="s">
        <v>636</v>
      </c>
      <c r="D24" s="219" t="s">
        <v>637</v>
      </c>
      <c r="E24" s="220" t="s">
        <v>33</v>
      </c>
      <c r="F24" s="239">
        <v>40790</v>
      </c>
      <c r="G24" s="236">
        <v>40834</v>
      </c>
      <c r="H24" s="236">
        <v>40875</v>
      </c>
      <c r="I24" s="230">
        <v>103000</v>
      </c>
      <c r="J24" s="230"/>
      <c r="K24" s="230"/>
      <c r="L24" s="224"/>
      <c r="M24" s="233"/>
      <c r="O24" s="231">
        <f t="shared" si="0"/>
        <v>0</v>
      </c>
    </row>
    <row r="25" spans="1:15">
      <c r="A25" s="234" t="s">
        <v>638</v>
      </c>
      <c r="B25" s="218" t="s">
        <v>616</v>
      </c>
      <c r="C25" s="219" t="s">
        <v>636</v>
      </c>
      <c r="D25" s="219" t="s">
        <v>637</v>
      </c>
      <c r="E25" s="220" t="s">
        <v>33</v>
      </c>
      <c r="F25" s="239">
        <v>40790</v>
      </c>
      <c r="G25" s="236">
        <v>40834</v>
      </c>
      <c r="H25" s="236">
        <v>40875</v>
      </c>
      <c r="I25" s="230">
        <v>144350.13</v>
      </c>
      <c r="J25" s="230"/>
      <c r="K25" s="230"/>
      <c r="L25" s="224"/>
      <c r="M25" s="233"/>
      <c r="O25" s="231">
        <f t="shared" si="0"/>
        <v>0</v>
      </c>
    </row>
    <row r="26" spans="1:15">
      <c r="A26" s="234" t="s">
        <v>1104</v>
      </c>
      <c r="B26" s="218" t="s">
        <v>621</v>
      </c>
      <c r="C26" s="219" t="s">
        <v>636</v>
      </c>
      <c r="D26" s="219" t="s">
        <v>209</v>
      </c>
      <c r="E26" s="220" t="s">
        <v>33</v>
      </c>
      <c r="F26" s="239">
        <v>40790</v>
      </c>
      <c r="G26" s="236">
        <v>40911</v>
      </c>
      <c r="H26" s="236">
        <v>40926</v>
      </c>
      <c r="I26" s="230">
        <v>24680.73</v>
      </c>
      <c r="J26" s="237">
        <f>SUM(I24:I26)</f>
        <v>272030.86</v>
      </c>
      <c r="K26" s="237">
        <v>118900</v>
      </c>
      <c r="L26" s="238">
        <f>+J26-K26:K26</f>
        <v>153130.85999999999</v>
      </c>
      <c r="M26" s="233"/>
      <c r="O26" s="231">
        <f t="shared" si="0"/>
        <v>0</v>
      </c>
    </row>
    <row r="27" spans="1:15">
      <c r="A27" s="234" t="s">
        <v>639</v>
      </c>
      <c r="B27" s="218" t="s">
        <v>621</v>
      </c>
      <c r="C27" s="219" t="s">
        <v>640</v>
      </c>
      <c r="D27" s="219" t="s">
        <v>54</v>
      </c>
      <c r="E27" s="220" t="s">
        <v>33</v>
      </c>
      <c r="F27" s="239">
        <v>40834</v>
      </c>
      <c r="G27" s="236">
        <v>40870</v>
      </c>
      <c r="H27" s="236">
        <v>40891</v>
      </c>
      <c r="I27" s="230">
        <v>98746.22</v>
      </c>
      <c r="J27" s="230"/>
      <c r="K27" s="230"/>
      <c r="L27" s="224"/>
      <c r="M27" s="233"/>
      <c r="O27" s="231">
        <f t="shared" si="0"/>
        <v>0</v>
      </c>
    </row>
    <row r="28" spans="1:15">
      <c r="A28" s="234" t="s">
        <v>641</v>
      </c>
      <c r="B28" s="218" t="s">
        <v>616</v>
      </c>
      <c r="C28" s="219" t="s">
        <v>640</v>
      </c>
      <c r="D28" s="219" t="s">
        <v>54</v>
      </c>
      <c r="E28" s="220" t="s">
        <v>33</v>
      </c>
      <c r="F28" s="239">
        <v>40834</v>
      </c>
      <c r="G28" s="236">
        <v>40870</v>
      </c>
      <c r="H28" s="236">
        <v>40891</v>
      </c>
      <c r="I28" s="230">
        <v>180000</v>
      </c>
      <c r="J28" s="230">
        <f>+I28+I27</f>
        <v>278746.21999999997</v>
      </c>
      <c r="K28" s="230">
        <v>118900</v>
      </c>
      <c r="L28" s="224">
        <f>+J28-K28</f>
        <v>159846.21999999997</v>
      </c>
      <c r="M28" s="233"/>
      <c r="O28" s="231">
        <f t="shared" si="0"/>
        <v>0</v>
      </c>
    </row>
    <row r="29" spans="1:15">
      <c r="A29" s="234" t="s">
        <v>642</v>
      </c>
      <c r="B29" s="218" t="s">
        <v>621</v>
      </c>
      <c r="C29" s="219" t="s">
        <v>643</v>
      </c>
      <c r="D29" s="219" t="s">
        <v>618</v>
      </c>
      <c r="E29" s="220" t="s">
        <v>33</v>
      </c>
      <c r="F29" s="239">
        <v>40706</v>
      </c>
      <c r="G29" s="236">
        <v>40717</v>
      </c>
      <c r="H29" s="236">
        <v>40750</v>
      </c>
      <c r="I29" s="230">
        <v>43488.99</v>
      </c>
      <c r="J29" s="230"/>
      <c r="K29" s="230"/>
      <c r="L29" s="224"/>
      <c r="M29" s="233"/>
      <c r="O29" s="231">
        <f t="shared" si="0"/>
        <v>0</v>
      </c>
    </row>
    <row r="30" spans="1:15">
      <c r="A30" s="234" t="s">
        <v>644</v>
      </c>
      <c r="B30" s="218" t="s">
        <v>616</v>
      </c>
      <c r="C30" s="219" t="s">
        <v>643</v>
      </c>
      <c r="D30" s="219" t="s">
        <v>618</v>
      </c>
      <c r="E30" s="220" t="s">
        <v>33</v>
      </c>
      <c r="F30" s="239">
        <v>40706</v>
      </c>
      <c r="G30" s="236">
        <v>40717</v>
      </c>
      <c r="H30" s="236">
        <v>40750</v>
      </c>
      <c r="I30" s="230">
        <v>126639.86</v>
      </c>
      <c r="J30" s="230"/>
      <c r="K30" s="230"/>
      <c r="L30" s="224"/>
      <c r="M30" s="233"/>
      <c r="O30" s="231">
        <f t="shared" si="0"/>
        <v>0</v>
      </c>
    </row>
    <row r="31" spans="1:15">
      <c r="A31" s="234" t="s">
        <v>645</v>
      </c>
      <c r="B31" s="218" t="s">
        <v>646</v>
      </c>
      <c r="C31" s="219" t="s">
        <v>643</v>
      </c>
      <c r="D31" s="219" t="s">
        <v>618</v>
      </c>
      <c r="E31" s="220" t="s">
        <v>33</v>
      </c>
      <c r="F31" s="239">
        <v>40706</v>
      </c>
      <c r="G31" s="236">
        <v>40717</v>
      </c>
      <c r="H31" s="236">
        <v>40750</v>
      </c>
      <c r="I31" s="230">
        <v>5000</v>
      </c>
      <c r="J31" s="230">
        <f>+I31+I30+I29</f>
        <v>175128.84999999998</v>
      </c>
      <c r="K31" s="230">
        <v>118900</v>
      </c>
      <c r="L31" s="224">
        <f>+J31-K31</f>
        <v>56228.849999999977</v>
      </c>
      <c r="M31" s="233"/>
      <c r="O31" s="231">
        <f t="shared" si="0"/>
        <v>0</v>
      </c>
    </row>
    <row r="32" spans="1:15">
      <c r="A32" s="234" t="s">
        <v>647</v>
      </c>
      <c r="B32" s="218" t="s">
        <v>616</v>
      </c>
      <c r="C32" s="219" t="s">
        <v>648</v>
      </c>
      <c r="D32" s="219" t="s">
        <v>553</v>
      </c>
      <c r="E32" s="220" t="s">
        <v>33</v>
      </c>
      <c r="F32" s="239">
        <v>40628</v>
      </c>
      <c r="G32" s="236">
        <v>40658</v>
      </c>
      <c r="H32" s="236">
        <v>40667</v>
      </c>
      <c r="I32" s="230">
        <v>211101.17</v>
      </c>
      <c r="J32" s="230">
        <f>+I32</f>
        <v>211101.17</v>
      </c>
      <c r="K32" s="230">
        <v>118900</v>
      </c>
      <c r="L32" s="224">
        <f>+J32-K32</f>
        <v>92201.170000000013</v>
      </c>
      <c r="M32" s="233"/>
      <c r="O32" s="231">
        <f t="shared" si="0"/>
        <v>0</v>
      </c>
    </row>
    <row r="33" spans="1:15">
      <c r="A33" s="234" t="s">
        <v>1131</v>
      </c>
      <c r="B33" s="218" t="s">
        <v>621</v>
      </c>
      <c r="C33" s="219" t="s">
        <v>1173</v>
      </c>
      <c r="D33" s="219" t="s">
        <v>1189</v>
      </c>
      <c r="E33" s="220" t="s">
        <v>33</v>
      </c>
      <c r="F33" s="239">
        <v>40874</v>
      </c>
      <c r="G33" s="236">
        <v>40911</v>
      </c>
      <c r="H33" s="236">
        <v>41001</v>
      </c>
      <c r="I33" s="230">
        <v>54546.17</v>
      </c>
      <c r="J33" s="237"/>
      <c r="K33" s="237"/>
      <c r="L33" s="238"/>
      <c r="M33" s="233"/>
      <c r="O33" s="231">
        <f t="shared" si="0"/>
        <v>0</v>
      </c>
    </row>
    <row r="34" spans="1:15">
      <c r="A34" s="234" t="s">
        <v>1132</v>
      </c>
      <c r="B34" s="218" t="s">
        <v>616</v>
      </c>
      <c r="C34" s="219" t="s">
        <v>1173</v>
      </c>
      <c r="D34" s="219" t="s">
        <v>1189</v>
      </c>
      <c r="E34" s="220" t="s">
        <v>33</v>
      </c>
      <c r="F34" s="239">
        <v>40874</v>
      </c>
      <c r="G34" s="236">
        <v>40911</v>
      </c>
      <c r="H34" s="236">
        <v>41010</v>
      </c>
      <c r="I34" s="230">
        <v>730661.42</v>
      </c>
      <c r="J34" s="237">
        <f>+I34+I33</f>
        <v>785207.59000000008</v>
      </c>
      <c r="K34" s="237">
        <v>118900</v>
      </c>
      <c r="L34" s="238">
        <f>+J34-K34</f>
        <v>666307.59000000008</v>
      </c>
      <c r="M34" s="233"/>
      <c r="O34" s="231">
        <f t="shared" si="0"/>
        <v>63503.590000000084</v>
      </c>
    </row>
    <row r="35" spans="1:15">
      <c r="A35" s="234" t="s">
        <v>1129</v>
      </c>
      <c r="B35" s="218" t="s">
        <v>30</v>
      </c>
      <c r="C35" s="219" t="s">
        <v>1172</v>
      </c>
      <c r="D35" s="219" t="s">
        <v>38</v>
      </c>
      <c r="E35" s="220" t="s">
        <v>33</v>
      </c>
      <c r="F35" s="239">
        <v>40906</v>
      </c>
      <c r="G35" s="236">
        <v>41012</v>
      </c>
      <c r="H35" s="236">
        <v>41019</v>
      </c>
      <c r="I35" s="230">
        <v>73000</v>
      </c>
      <c r="J35" s="237"/>
      <c r="K35" s="237"/>
      <c r="L35" s="238"/>
      <c r="M35" s="233"/>
      <c r="O35" s="231">
        <f t="shared" si="0"/>
        <v>0</v>
      </c>
    </row>
    <row r="36" spans="1:15">
      <c r="A36" s="234" t="s">
        <v>578</v>
      </c>
      <c r="B36" s="218" t="s">
        <v>616</v>
      </c>
      <c r="C36" s="219" t="s">
        <v>1172</v>
      </c>
      <c r="D36" s="219" t="s">
        <v>38</v>
      </c>
      <c r="E36" s="220" t="s">
        <v>33</v>
      </c>
      <c r="F36" s="239">
        <v>40906</v>
      </c>
      <c r="G36" s="236">
        <v>41012</v>
      </c>
      <c r="H36" s="236">
        <v>41019</v>
      </c>
      <c r="I36" s="230">
        <v>225507.24</v>
      </c>
      <c r="J36" s="237">
        <f>+I36+I35</f>
        <v>298507.24</v>
      </c>
      <c r="K36" s="237">
        <v>118900</v>
      </c>
      <c r="L36" s="238">
        <f>+J36-K36</f>
        <v>179607.24</v>
      </c>
      <c r="M36" s="233"/>
      <c r="O36" s="231">
        <f t="shared" si="0"/>
        <v>0</v>
      </c>
    </row>
    <row r="37" spans="1:15">
      <c r="A37" s="234" t="s">
        <v>1139</v>
      </c>
      <c r="B37" s="218" t="s">
        <v>621</v>
      </c>
      <c r="C37" s="219" t="s">
        <v>1177</v>
      </c>
      <c r="D37" s="219" t="s">
        <v>209</v>
      </c>
      <c r="E37" s="220" t="s">
        <v>33</v>
      </c>
      <c r="F37" s="239">
        <v>40740</v>
      </c>
      <c r="G37" s="236">
        <v>41064</v>
      </c>
      <c r="H37" s="236">
        <v>41066</v>
      </c>
      <c r="I37" s="230">
        <v>35233.83</v>
      </c>
      <c r="J37" s="237"/>
      <c r="K37" s="237"/>
      <c r="L37" s="238"/>
      <c r="M37" s="233"/>
      <c r="O37" s="231">
        <f t="shared" si="0"/>
        <v>0</v>
      </c>
    </row>
    <row r="38" spans="1:15">
      <c r="A38" s="234" t="s">
        <v>1140</v>
      </c>
      <c r="B38" s="218" t="s">
        <v>616</v>
      </c>
      <c r="C38" s="219" t="s">
        <v>1177</v>
      </c>
      <c r="D38" s="219" t="s">
        <v>209</v>
      </c>
      <c r="E38" s="220" t="s">
        <v>33</v>
      </c>
      <c r="F38" s="239">
        <v>40740</v>
      </c>
      <c r="G38" s="236">
        <v>41064</v>
      </c>
      <c r="H38" s="236">
        <v>41066</v>
      </c>
      <c r="I38" s="230">
        <v>69144.77</v>
      </c>
      <c r="J38" s="237"/>
      <c r="K38" s="237"/>
      <c r="L38" s="238"/>
      <c r="M38" s="233"/>
      <c r="O38" s="231">
        <f t="shared" si="0"/>
        <v>0</v>
      </c>
    </row>
    <row r="39" spans="1:15">
      <c r="A39" s="234" t="s">
        <v>1141</v>
      </c>
      <c r="B39" s="218" t="s">
        <v>621</v>
      </c>
      <c r="C39" s="219" t="s">
        <v>1177</v>
      </c>
      <c r="D39" s="219" t="s">
        <v>209</v>
      </c>
      <c r="E39" s="220" t="s">
        <v>33</v>
      </c>
      <c r="F39" s="239">
        <v>40740</v>
      </c>
      <c r="G39" s="236">
        <v>41071</v>
      </c>
      <c r="H39" s="236">
        <v>41074</v>
      </c>
      <c r="I39" s="230">
        <v>25056.87</v>
      </c>
      <c r="J39" s="237"/>
      <c r="K39" s="237"/>
      <c r="L39" s="238"/>
      <c r="M39" s="233"/>
      <c r="O39" s="231">
        <f t="shared" si="0"/>
        <v>0</v>
      </c>
    </row>
    <row r="40" spans="1:15">
      <c r="A40" s="234" t="s">
        <v>1142</v>
      </c>
      <c r="B40" s="218" t="s">
        <v>616</v>
      </c>
      <c r="C40" s="219" t="s">
        <v>1177</v>
      </c>
      <c r="D40" s="219" t="s">
        <v>209</v>
      </c>
      <c r="E40" s="220" t="s">
        <v>33</v>
      </c>
      <c r="F40" s="239">
        <v>40740</v>
      </c>
      <c r="G40" s="236">
        <v>41071</v>
      </c>
      <c r="H40" s="236">
        <v>41074</v>
      </c>
      <c r="I40" s="230">
        <v>105000</v>
      </c>
      <c r="J40" s="237">
        <f>SUM(I37:I40)</f>
        <v>234435.47</v>
      </c>
      <c r="K40" s="237">
        <v>118900</v>
      </c>
      <c r="L40" s="238">
        <f>+J40-K40</f>
        <v>115535.47</v>
      </c>
      <c r="M40" s="233"/>
      <c r="O40" s="231">
        <f t="shared" si="0"/>
        <v>0</v>
      </c>
    </row>
    <row r="41" spans="1:15">
      <c r="A41" s="234" t="s">
        <v>649</v>
      </c>
      <c r="B41" s="218" t="s">
        <v>616</v>
      </c>
      <c r="C41" s="219" t="s">
        <v>650</v>
      </c>
      <c r="D41" s="219" t="s">
        <v>38</v>
      </c>
      <c r="E41" s="220" t="s">
        <v>33</v>
      </c>
      <c r="F41" s="239">
        <v>40732</v>
      </c>
      <c r="G41" s="236">
        <v>40750</v>
      </c>
      <c r="H41" s="236">
        <v>40779</v>
      </c>
      <c r="I41" s="230">
        <v>186491.67</v>
      </c>
      <c r="J41" s="230">
        <f>+I41</f>
        <v>186491.67</v>
      </c>
      <c r="K41" s="230">
        <v>118900</v>
      </c>
      <c r="L41" s="224">
        <f>+J41-K41</f>
        <v>67591.670000000013</v>
      </c>
      <c r="M41" s="233"/>
      <c r="O41" s="231">
        <f t="shared" si="0"/>
        <v>0</v>
      </c>
    </row>
    <row r="42" spans="1:15">
      <c r="A42" s="234" t="s">
        <v>651</v>
      </c>
      <c r="B42" s="218" t="s">
        <v>616</v>
      </c>
      <c r="C42" s="219" t="s">
        <v>652</v>
      </c>
      <c r="D42" s="219" t="s">
        <v>38</v>
      </c>
      <c r="E42" s="220" t="s">
        <v>33</v>
      </c>
      <c r="F42" s="239">
        <v>40668</v>
      </c>
      <c r="G42" s="236">
        <v>40759</v>
      </c>
      <c r="H42" s="236">
        <v>40777</v>
      </c>
      <c r="I42" s="230">
        <v>392190.75</v>
      </c>
      <c r="J42" s="230">
        <f>+I42</f>
        <v>392190.75</v>
      </c>
      <c r="K42" s="230">
        <v>118900</v>
      </c>
      <c r="L42" s="224">
        <f>+J42-K42</f>
        <v>273290.75</v>
      </c>
      <c r="M42" s="233"/>
      <c r="O42" s="231">
        <f t="shared" si="0"/>
        <v>0</v>
      </c>
    </row>
    <row r="43" spans="1:15">
      <c r="A43" s="234" t="s">
        <v>653</v>
      </c>
      <c r="B43" s="218" t="s">
        <v>621</v>
      </c>
      <c r="C43" s="219" t="s">
        <v>654</v>
      </c>
      <c r="D43" s="219" t="s">
        <v>655</v>
      </c>
      <c r="E43" s="220" t="s">
        <v>33</v>
      </c>
      <c r="F43" s="239">
        <v>40654</v>
      </c>
      <c r="G43" s="236">
        <v>40842</v>
      </c>
      <c r="H43" s="236">
        <v>40886</v>
      </c>
      <c r="I43" s="230">
        <v>111938.3</v>
      </c>
      <c r="J43" s="230"/>
      <c r="K43" s="230"/>
      <c r="L43" s="224"/>
      <c r="M43" s="233"/>
      <c r="O43" s="231">
        <f t="shared" si="0"/>
        <v>0</v>
      </c>
    </row>
    <row r="44" spans="1:15">
      <c r="A44" s="234" t="s">
        <v>656</v>
      </c>
      <c r="B44" s="218" t="s">
        <v>616</v>
      </c>
      <c r="C44" s="219" t="s">
        <v>654</v>
      </c>
      <c r="D44" s="219" t="s">
        <v>655</v>
      </c>
      <c r="E44" s="220" t="s">
        <v>33</v>
      </c>
      <c r="F44" s="239">
        <v>40654</v>
      </c>
      <c r="G44" s="236">
        <v>40842</v>
      </c>
      <c r="H44" s="236">
        <v>40886</v>
      </c>
      <c r="I44" s="230">
        <v>130830</v>
      </c>
      <c r="J44" s="230">
        <f>+I44+I43</f>
        <v>242768.3</v>
      </c>
      <c r="K44" s="230">
        <v>118900</v>
      </c>
      <c r="L44" s="224">
        <f>+J44-K44</f>
        <v>123868.29999999999</v>
      </c>
      <c r="M44" s="233"/>
      <c r="O44" s="231">
        <f t="shared" si="0"/>
        <v>0</v>
      </c>
    </row>
    <row r="45" spans="1:15">
      <c r="A45" s="234" t="s">
        <v>657</v>
      </c>
      <c r="B45" s="218" t="s">
        <v>616</v>
      </c>
      <c r="C45" s="219" t="s">
        <v>658</v>
      </c>
      <c r="D45" s="219" t="s">
        <v>659</v>
      </c>
      <c r="E45" s="220" t="s">
        <v>33</v>
      </c>
      <c r="F45" s="239">
        <v>40652</v>
      </c>
      <c r="G45" s="236">
        <v>40785</v>
      </c>
      <c r="H45" s="236">
        <v>40791</v>
      </c>
      <c r="I45" s="230">
        <v>211266.93</v>
      </c>
      <c r="J45" s="230">
        <f>+I45</f>
        <v>211266.93</v>
      </c>
      <c r="K45" s="230">
        <v>118900</v>
      </c>
      <c r="L45" s="224">
        <f>+J45-K45</f>
        <v>92366.93</v>
      </c>
      <c r="M45" s="233"/>
      <c r="O45" s="231">
        <f t="shared" si="0"/>
        <v>0</v>
      </c>
    </row>
    <row r="46" spans="1:15">
      <c r="A46" s="234" t="s">
        <v>1133</v>
      </c>
      <c r="B46" s="218" t="s">
        <v>621</v>
      </c>
      <c r="C46" s="219" t="s">
        <v>1174</v>
      </c>
      <c r="D46" s="219" t="s">
        <v>670</v>
      </c>
      <c r="E46" s="220" t="s">
        <v>33</v>
      </c>
      <c r="F46" s="239">
        <v>40782</v>
      </c>
      <c r="G46" s="236">
        <v>40876</v>
      </c>
      <c r="H46" s="236">
        <v>41026</v>
      </c>
      <c r="I46" s="230">
        <v>45286.3</v>
      </c>
      <c r="J46" s="237"/>
      <c r="K46" s="237"/>
      <c r="L46" s="238"/>
      <c r="M46" s="233"/>
      <c r="O46" s="231">
        <f t="shared" si="0"/>
        <v>0</v>
      </c>
    </row>
    <row r="47" spans="1:15">
      <c r="A47" s="234" t="s">
        <v>1134</v>
      </c>
      <c r="B47" s="218" t="s">
        <v>616</v>
      </c>
      <c r="C47" s="219" t="s">
        <v>1174</v>
      </c>
      <c r="D47" s="219" t="s">
        <v>670</v>
      </c>
      <c r="E47" s="220" t="s">
        <v>33</v>
      </c>
      <c r="F47" s="239">
        <v>40782</v>
      </c>
      <c r="G47" s="236">
        <v>40876</v>
      </c>
      <c r="H47" s="236">
        <v>41026</v>
      </c>
      <c r="I47" s="230">
        <v>16248.93</v>
      </c>
      <c r="J47" s="237"/>
      <c r="K47" s="237"/>
      <c r="L47" s="238"/>
      <c r="M47" s="233"/>
      <c r="O47" s="231">
        <f t="shared" si="0"/>
        <v>0</v>
      </c>
    </row>
    <row r="48" spans="1:15">
      <c r="A48" s="234" t="s">
        <v>1135</v>
      </c>
      <c r="B48" s="218" t="s">
        <v>646</v>
      </c>
      <c r="C48" s="219" t="s">
        <v>1174</v>
      </c>
      <c r="D48" s="219" t="s">
        <v>670</v>
      </c>
      <c r="E48" s="220" t="s">
        <v>33</v>
      </c>
      <c r="F48" s="239">
        <v>40782</v>
      </c>
      <c r="G48" s="236">
        <v>40876</v>
      </c>
      <c r="H48" s="236">
        <v>41026</v>
      </c>
      <c r="I48" s="230">
        <v>10000</v>
      </c>
      <c r="J48" s="237"/>
      <c r="K48" s="237"/>
      <c r="L48" s="238"/>
      <c r="M48" s="233"/>
      <c r="O48" s="231">
        <f t="shared" si="0"/>
        <v>0</v>
      </c>
    </row>
    <row r="49" spans="1:15">
      <c r="A49" s="234" t="s">
        <v>1136</v>
      </c>
      <c r="B49" s="218" t="s">
        <v>1153</v>
      </c>
      <c r="C49" s="219" t="s">
        <v>1174</v>
      </c>
      <c r="D49" s="219" t="s">
        <v>670</v>
      </c>
      <c r="E49" s="220" t="s">
        <v>33</v>
      </c>
      <c r="F49" s="239">
        <v>40782</v>
      </c>
      <c r="G49" s="236">
        <v>40876</v>
      </c>
      <c r="H49" s="236">
        <v>41026</v>
      </c>
      <c r="I49" s="230">
        <v>100000</v>
      </c>
      <c r="J49" s="237">
        <f>SUM(I46:I49)</f>
        <v>171535.23</v>
      </c>
      <c r="K49" s="237">
        <v>118900</v>
      </c>
      <c r="L49" s="238">
        <f>+J49-K49</f>
        <v>52635.23000000001</v>
      </c>
      <c r="M49" s="233"/>
      <c r="O49" s="231">
        <f t="shared" si="0"/>
        <v>0</v>
      </c>
    </row>
    <row r="50" spans="1:15">
      <c r="A50" s="234" t="s">
        <v>1138</v>
      </c>
      <c r="B50" s="218" t="s">
        <v>30</v>
      </c>
      <c r="C50" s="219" t="s">
        <v>1176</v>
      </c>
      <c r="D50" s="219" t="s">
        <v>38</v>
      </c>
      <c r="E50" s="220" t="s">
        <v>33</v>
      </c>
      <c r="F50" s="239">
        <v>40805</v>
      </c>
      <c r="G50" s="236">
        <v>41043</v>
      </c>
      <c r="H50" s="236">
        <v>41051</v>
      </c>
      <c r="I50" s="230">
        <v>73394.39</v>
      </c>
      <c r="J50" s="237"/>
      <c r="K50" s="237"/>
      <c r="L50" s="238"/>
      <c r="M50" s="233"/>
      <c r="O50" s="231">
        <f t="shared" si="0"/>
        <v>0</v>
      </c>
    </row>
    <row r="51" spans="1:15">
      <c r="A51" s="234" t="s">
        <v>382</v>
      </c>
      <c r="B51" s="218" t="s">
        <v>616</v>
      </c>
      <c r="C51" s="219" t="s">
        <v>1176</v>
      </c>
      <c r="D51" s="219" t="s">
        <v>38</v>
      </c>
      <c r="E51" s="220" t="s">
        <v>33</v>
      </c>
      <c r="F51" s="239">
        <v>40805</v>
      </c>
      <c r="G51" s="236">
        <v>41043</v>
      </c>
      <c r="H51" s="236">
        <v>41051</v>
      </c>
      <c r="I51" s="230">
        <v>440600</v>
      </c>
      <c r="J51" s="237">
        <f>+I51+I50</f>
        <v>513994.39</v>
      </c>
      <c r="K51" s="237">
        <v>118900</v>
      </c>
      <c r="L51" s="238">
        <f>+J51-K51</f>
        <v>395094.39</v>
      </c>
      <c r="M51" s="233"/>
      <c r="O51" s="231">
        <f t="shared" si="0"/>
        <v>0</v>
      </c>
    </row>
    <row r="52" spans="1:15">
      <c r="A52" s="234" t="s">
        <v>660</v>
      </c>
      <c r="B52" s="218" t="s">
        <v>616</v>
      </c>
      <c r="C52" s="219" t="s">
        <v>661</v>
      </c>
      <c r="D52" s="219" t="s">
        <v>662</v>
      </c>
      <c r="E52" s="220" t="s">
        <v>33</v>
      </c>
      <c r="F52" s="239">
        <v>40646</v>
      </c>
      <c r="G52" s="236">
        <v>40707</v>
      </c>
      <c r="H52" s="236">
        <v>40715</v>
      </c>
      <c r="I52" s="230">
        <v>210998.24</v>
      </c>
      <c r="J52" s="230">
        <f>+I52</f>
        <v>210998.24</v>
      </c>
      <c r="K52" s="230">
        <v>118900</v>
      </c>
      <c r="L52" s="224">
        <f>+J52-K52</f>
        <v>92098.239999999991</v>
      </c>
      <c r="M52" s="233"/>
      <c r="O52" s="231">
        <f t="shared" si="0"/>
        <v>0</v>
      </c>
    </row>
    <row r="53" spans="1:15">
      <c r="A53" s="234" t="s">
        <v>663</v>
      </c>
      <c r="B53" s="218" t="s">
        <v>616</v>
      </c>
      <c r="C53" s="219" t="s">
        <v>664</v>
      </c>
      <c r="D53" s="219" t="s">
        <v>38</v>
      </c>
      <c r="E53" s="220" t="s">
        <v>33</v>
      </c>
      <c r="F53" s="239">
        <v>40739</v>
      </c>
      <c r="G53" s="236">
        <v>40799</v>
      </c>
      <c r="H53" s="236">
        <v>40829</v>
      </c>
      <c r="I53" s="230">
        <v>1281945.3700000001</v>
      </c>
      <c r="J53" s="230">
        <f>+I53</f>
        <v>1281945.3700000001</v>
      </c>
      <c r="K53" s="230">
        <v>118900</v>
      </c>
      <c r="L53" s="224">
        <f>+J53-K53</f>
        <v>1163045.3700000001</v>
      </c>
      <c r="M53" s="233"/>
      <c r="O53" s="231">
        <f t="shared" si="0"/>
        <v>560241.37000000011</v>
      </c>
    </row>
    <row r="54" spans="1:15">
      <c r="A54" s="234" t="s">
        <v>665</v>
      </c>
      <c r="B54" s="218" t="s">
        <v>616</v>
      </c>
      <c r="C54" s="219" t="s">
        <v>666</v>
      </c>
      <c r="D54" s="219" t="s">
        <v>38</v>
      </c>
      <c r="E54" s="220" t="s">
        <v>33</v>
      </c>
      <c r="F54" s="239">
        <v>40797</v>
      </c>
      <c r="G54" s="236">
        <v>40875</v>
      </c>
      <c r="H54" s="236">
        <v>40891</v>
      </c>
      <c r="I54" s="230">
        <v>167432.64000000001</v>
      </c>
      <c r="J54" s="230">
        <f>+I54</f>
        <v>167432.64000000001</v>
      </c>
      <c r="K54" s="230">
        <v>118900</v>
      </c>
      <c r="L54" s="224">
        <f>+J54-K54</f>
        <v>48532.640000000014</v>
      </c>
      <c r="M54" s="233"/>
      <c r="O54" s="231">
        <f t="shared" si="0"/>
        <v>0</v>
      </c>
    </row>
    <row r="55" spans="1:15">
      <c r="A55" s="234" t="s">
        <v>667</v>
      </c>
      <c r="B55" s="218" t="s">
        <v>668</v>
      </c>
      <c r="C55" s="219" t="s">
        <v>669</v>
      </c>
      <c r="D55" s="219" t="s">
        <v>670</v>
      </c>
      <c r="E55" s="220" t="s">
        <v>33</v>
      </c>
      <c r="F55" s="239">
        <v>40776</v>
      </c>
      <c r="G55" s="236">
        <v>40802</v>
      </c>
      <c r="H55" s="236">
        <v>40814</v>
      </c>
      <c r="I55" s="230">
        <v>283169.27</v>
      </c>
      <c r="J55" s="230">
        <f>+I55</f>
        <v>283169.27</v>
      </c>
      <c r="K55" s="230">
        <v>118900</v>
      </c>
      <c r="L55" s="224">
        <f>+J55-K55</f>
        <v>164269.27000000002</v>
      </c>
      <c r="M55" s="233"/>
      <c r="O55" s="231">
        <f t="shared" si="0"/>
        <v>0</v>
      </c>
    </row>
    <row r="56" spans="1:15">
      <c r="A56" s="234" t="s">
        <v>375</v>
      </c>
      <c r="B56" s="218" t="s">
        <v>621</v>
      </c>
      <c r="C56" s="219" t="s">
        <v>1170</v>
      </c>
      <c r="D56" s="219" t="s">
        <v>38</v>
      </c>
      <c r="E56" s="220" t="s">
        <v>33</v>
      </c>
      <c r="F56" s="239">
        <v>40854</v>
      </c>
      <c r="G56" s="236">
        <v>40962</v>
      </c>
      <c r="H56" s="236">
        <v>40988</v>
      </c>
      <c r="I56" s="230">
        <v>35920.51</v>
      </c>
      <c r="J56" s="237"/>
      <c r="K56" s="237"/>
      <c r="L56" s="238"/>
      <c r="M56" s="233"/>
      <c r="O56" s="231">
        <f t="shared" si="0"/>
        <v>0</v>
      </c>
    </row>
    <row r="57" spans="1:15">
      <c r="A57" s="234" t="s">
        <v>1125</v>
      </c>
      <c r="B57" s="218" t="s">
        <v>616</v>
      </c>
      <c r="C57" s="219" t="s">
        <v>1170</v>
      </c>
      <c r="D57" s="219" t="s">
        <v>38</v>
      </c>
      <c r="E57" s="220" t="s">
        <v>33</v>
      </c>
      <c r="F57" s="239">
        <v>40854</v>
      </c>
      <c r="G57" s="236">
        <v>40962</v>
      </c>
      <c r="H57" s="236">
        <v>40988</v>
      </c>
      <c r="I57" s="230">
        <v>111895.13</v>
      </c>
      <c r="J57" s="237">
        <f>+I57+I56</f>
        <v>147815.64000000001</v>
      </c>
      <c r="K57" s="237">
        <v>118900</v>
      </c>
      <c r="L57" s="238">
        <f>+J57-K57</f>
        <v>28915.640000000014</v>
      </c>
      <c r="M57" s="233"/>
      <c r="O57" s="231">
        <f t="shared" si="0"/>
        <v>0</v>
      </c>
    </row>
    <row r="58" spans="1:15">
      <c r="A58" s="234" t="s">
        <v>671</v>
      </c>
      <c r="B58" s="218" t="s">
        <v>621</v>
      </c>
      <c r="C58" s="219" t="s">
        <v>672</v>
      </c>
      <c r="D58" s="219" t="s">
        <v>38</v>
      </c>
      <c r="E58" s="220" t="s">
        <v>33</v>
      </c>
      <c r="F58" s="239">
        <v>40572</v>
      </c>
      <c r="G58" s="236">
        <v>40674</v>
      </c>
      <c r="H58" s="236">
        <v>40686</v>
      </c>
      <c r="I58" s="230">
        <v>63242.26</v>
      </c>
      <c r="J58" s="230"/>
      <c r="K58" s="230"/>
      <c r="L58" s="224"/>
      <c r="M58" s="233"/>
      <c r="O58" s="231">
        <f t="shared" si="0"/>
        <v>0</v>
      </c>
    </row>
    <row r="59" spans="1:15">
      <c r="A59" s="234" t="s">
        <v>673</v>
      </c>
      <c r="B59" s="218" t="s">
        <v>616</v>
      </c>
      <c r="C59" s="219" t="s">
        <v>672</v>
      </c>
      <c r="D59" s="219" t="s">
        <v>38</v>
      </c>
      <c r="E59" s="220" t="s">
        <v>33</v>
      </c>
      <c r="F59" s="239">
        <v>40572</v>
      </c>
      <c r="G59" s="236">
        <v>40674</v>
      </c>
      <c r="H59" s="236">
        <v>40686</v>
      </c>
      <c r="I59" s="230">
        <v>63294.11</v>
      </c>
      <c r="J59" s="230">
        <f>+I59+I58</f>
        <v>126536.37</v>
      </c>
      <c r="K59" s="230">
        <v>118900</v>
      </c>
      <c r="L59" s="224">
        <f>+J59-K59</f>
        <v>7636.3699999999953</v>
      </c>
      <c r="M59" s="233"/>
      <c r="O59" s="231">
        <f t="shared" si="0"/>
        <v>0</v>
      </c>
    </row>
    <row r="60" spans="1:15">
      <c r="A60" s="234" t="s">
        <v>674</v>
      </c>
      <c r="B60" s="218" t="s">
        <v>616</v>
      </c>
      <c r="C60" s="219" t="s">
        <v>675</v>
      </c>
      <c r="D60" s="219" t="s">
        <v>676</v>
      </c>
      <c r="E60" s="220" t="s">
        <v>26</v>
      </c>
      <c r="F60" s="239">
        <v>40557</v>
      </c>
      <c r="G60" s="236">
        <v>40749</v>
      </c>
      <c r="H60" s="236">
        <v>40784</v>
      </c>
      <c r="I60" s="230">
        <v>60466.71</v>
      </c>
      <c r="J60" s="230"/>
      <c r="K60" s="230"/>
      <c r="L60" s="224"/>
      <c r="M60" s="233"/>
      <c r="O60" s="231">
        <f t="shared" si="0"/>
        <v>0</v>
      </c>
    </row>
    <row r="61" spans="1:15">
      <c r="A61" s="234" t="s">
        <v>677</v>
      </c>
      <c r="B61" s="218" t="s">
        <v>621</v>
      </c>
      <c r="C61" s="219" t="s">
        <v>675</v>
      </c>
      <c r="D61" s="219" t="s">
        <v>676</v>
      </c>
      <c r="E61" s="220" t="s">
        <v>26</v>
      </c>
      <c r="F61" s="239">
        <v>40557</v>
      </c>
      <c r="G61" s="236">
        <v>40750</v>
      </c>
      <c r="H61" s="236">
        <v>40784</v>
      </c>
      <c r="I61" s="230">
        <v>75002.399999999994</v>
      </c>
      <c r="J61" s="230">
        <f>+I61+I60</f>
        <v>135469.10999999999</v>
      </c>
      <c r="K61" s="230">
        <v>118900</v>
      </c>
      <c r="L61" s="224">
        <f>+J61-K61</f>
        <v>16569.109999999986</v>
      </c>
      <c r="M61" s="233"/>
      <c r="O61" s="231">
        <f t="shared" si="0"/>
        <v>0</v>
      </c>
    </row>
    <row r="62" spans="1:15">
      <c r="A62" s="234" t="s">
        <v>678</v>
      </c>
      <c r="B62" s="218" t="s">
        <v>621</v>
      </c>
      <c r="C62" s="219" t="s">
        <v>679</v>
      </c>
      <c r="D62" s="219" t="s">
        <v>25</v>
      </c>
      <c r="E62" s="220" t="s">
        <v>26</v>
      </c>
      <c r="F62" s="239">
        <v>40578</v>
      </c>
      <c r="G62" s="236">
        <v>40679</v>
      </c>
      <c r="H62" s="236">
        <v>40686</v>
      </c>
      <c r="I62" s="230">
        <v>100691.08</v>
      </c>
      <c r="J62" s="230"/>
      <c r="K62" s="230"/>
      <c r="L62" s="224"/>
      <c r="M62" s="233"/>
      <c r="O62" s="231">
        <f t="shared" si="0"/>
        <v>0</v>
      </c>
    </row>
    <row r="63" spans="1:15">
      <c r="A63" s="234" t="s">
        <v>680</v>
      </c>
      <c r="B63" s="218" t="s">
        <v>616</v>
      </c>
      <c r="C63" s="219" t="s">
        <v>679</v>
      </c>
      <c r="D63" s="219" t="s">
        <v>25</v>
      </c>
      <c r="E63" s="220" t="s">
        <v>26</v>
      </c>
      <c r="F63" s="239">
        <v>40578</v>
      </c>
      <c r="G63" s="236">
        <v>40672</v>
      </c>
      <c r="H63" s="236">
        <v>40686</v>
      </c>
      <c r="I63" s="230">
        <v>197326.31</v>
      </c>
      <c r="J63" s="230"/>
      <c r="K63" s="230"/>
      <c r="L63" s="224"/>
      <c r="M63" s="233"/>
      <c r="O63" s="231">
        <f t="shared" si="0"/>
        <v>0</v>
      </c>
    </row>
    <row r="64" spans="1:15">
      <c r="A64" s="234" t="s">
        <v>681</v>
      </c>
      <c r="B64" s="218" t="s">
        <v>616</v>
      </c>
      <c r="C64" s="219" t="s">
        <v>679</v>
      </c>
      <c r="D64" s="219" t="s">
        <v>25</v>
      </c>
      <c r="E64" s="220" t="s">
        <v>26</v>
      </c>
      <c r="F64" s="239">
        <v>40578</v>
      </c>
      <c r="G64" s="236">
        <v>40679</v>
      </c>
      <c r="H64" s="236">
        <v>40686</v>
      </c>
      <c r="I64" s="230">
        <v>72880.19</v>
      </c>
      <c r="J64" s="230">
        <f>+I64+I63+I62</f>
        <v>370897.58</v>
      </c>
      <c r="K64" s="230">
        <v>118900</v>
      </c>
      <c r="L64" s="224">
        <f>+J64-K64</f>
        <v>251997.58000000002</v>
      </c>
      <c r="M64" s="233"/>
      <c r="O64" s="231">
        <f t="shared" si="0"/>
        <v>0</v>
      </c>
    </row>
    <row r="65" spans="1:15">
      <c r="A65" s="234" t="s">
        <v>1146</v>
      </c>
      <c r="B65" s="218" t="s">
        <v>621</v>
      </c>
      <c r="C65" s="219" t="s">
        <v>1180</v>
      </c>
      <c r="D65" s="219" t="s">
        <v>1190</v>
      </c>
      <c r="E65" s="220" t="s">
        <v>33</v>
      </c>
      <c r="F65" s="239">
        <v>40890</v>
      </c>
      <c r="G65" s="236">
        <v>40931</v>
      </c>
      <c r="H65" s="236">
        <v>40942</v>
      </c>
      <c r="I65" s="230">
        <v>15248.15</v>
      </c>
      <c r="J65" s="237"/>
      <c r="K65" s="237"/>
      <c r="L65" s="238"/>
      <c r="M65" s="233"/>
      <c r="O65" s="231">
        <f t="shared" si="0"/>
        <v>0</v>
      </c>
    </row>
    <row r="66" spans="1:15">
      <c r="A66" s="234" t="s">
        <v>1147</v>
      </c>
      <c r="B66" s="218" t="s">
        <v>616</v>
      </c>
      <c r="C66" s="219" t="s">
        <v>1180</v>
      </c>
      <c r="D66" s="219" t="s">
        <v>1190</v>
      </c>
      <c r="E66" s="220" t="s">
        <v>33</v>
      </c>
      <c r="F66" s="239">
        <v>40890</v>
      </c>
      <c r="G66" s="236">
        <v>40945</v>
      </c>
      <c r="H66" s="236">
        <v>41137</v>
      </c>
      <c r="I66" s="230">
        <v>200000</v>
      </c>
      <c r="J66" s="237">
        <f>+I66+I65</f>
        <v>215248.15</v>
      </c>
      <c r="K66" s="237">
        <v>118900</v>
      </c>
      <c r="L66" s="238">
        <f>+J66-K66</f>
        <v>96348.15</v>
      </c>
      <c r="M66" s="233"/>
      <c r="O66" s="231">
        <f t="shared" si="0"/>
        <v>0</v>
      </c>
    </row>
    <row r="67" spans="1:15">
      <c r="A67" s="234" t="s">
        <v>682</v>
      </c>
      <c r="B67" s="218" t="s">
        <v>621</v>
      </c>
      <c r="C67" s="219" t="s">
        <v>683</v>
      </c>
      <c r="D67" s="219" t="s">
        <v>38</v>
      </c>
      <c r="E67" s="220" t="s">
        <v>33</v>
      </c>
      <c r="F67" s="239">
        <v>40839</v>
      </c>
      <c r="G67" s="236">
        <v>40879</v>
      </c>
      <c r="H67" s="236">
        <v>40891</v>
      </c>
      <c r="I67" s="230">
        <v>8730.66</v>
      </c>
      <c r="J67" s="230"/>
      <c r="K67" s="230"/>
      <c r="L67" s="224"/>
      <c r="M67" s="233"/>
      <c r="O67" s="231">
        <f t="shared" si="0"/>
        <v>0</v>
      </c>
    </row>
    <row r="68" spans="1:15">
      <c r="A68" s="234" t="s">
        <v>684</v>
      </c>
      <c r="B68" s="218" t="s">
        <v>616</v>
      </c>
      <c r="C68" s="219" t="s">
        <v>683</v>
      </c>
      <c r="D68" s="219" t="s">
        <v>38</v>
      </c>
      <c r="E68" s="220" t="s">
        <v>33</v>
      </c>
      <c r="F68" s="239">
        <v>40839</v>
      </c>
      <c r="G68" s="236">
        <v>40879</v>
      </c>
      <c r="H68" s="236">
        <v>40891</v>
      </c>
      <c r="I68" s="230">
        <v>216788.82</v>
      </c>
      <c r="J68" s="230">
        <f>+I68+I67</f>
        <v>225519.48</v>
      </c>
      <c r="K68" s="230">
        <v>118900</v>
      </c>
      <c r="L68" s="224">
        <f>+J68-K68</f>
        <v>106619.48000000001</v>
      </c>
      <c r="M68" s="233"/>
      <c r="O68" s="231">
        <f t="shared" si="0"/>
        <v>0</v>
      </c>
    </row>
    <row r="69" spans="1:15">
      <c r="A69" s="234" t="s">
        <v>1137</v>
      </c>
      <c r="B69" s="218" t="s">
        <v>616</v>
      </c>
      <c r="C69" s="219" t="s">
        <v>1175</v>
      </c>
      <c r="D69" s="219" t="s">
        <v>38</v>
      </c>
      <c r="E69" s="220" t="s">
        <v>33</v>
      </c>
      <c r="F69" s="239">
        <v>40890</v>
      </c>
      <c r="G69" s="236">
        <v>41059</v>
      </c>
      <c r="H69" s="236">
        <v>41059</v>
      </c>
      <c r="I69" s="230">
        <v>196189.88</v>
      </c>
      <c r="J69" s="237"/>
      <c r="K69" s="237"/>
      <c r="L69" s="238"/>
      <c r="M69" s="233"/>
      <c r="O69" s="231">
        <f t="shared" si="0"/>
        <v>0</v>
      </c>
    </row>
    <row r="70" spans="1:15">
      <c r="A70" s="234" t="s">
        <v>462</v>
      </c>
      <c r="B70" s="218" t="s">
        <v>30</v>
      </c>
      <c r="C70" s="219" t="s">
        <v>1175</v>
      </c>
      <c r="D70" s="219" t="s">
        <v>38</v>
      </c>
      <c r="E70" s="220" t="s">
        <v>33</v>
      </c>
      <c r="F70" s="239">
        <v>40890</v>
      </c>
      <c r="G70" s="236">
        <v>41059</v>
      </c>
      <c r="H70" s="236">
        <v>41086</v>
      </c>
      <c r="I70" s="230">
        <v>17155.23</v>
      </c>
      <c r="J70" s="237">
        <f>SUM(I69:I70)</f>
        <v>213345.11000000002</v>
      </c>
      <c r="K70" s="237">
        <v>118900</v>
      </c>
      <c r="L70" s="238">
        <f>+J70-K70</f>
        <v>94445.110000000015</v>
      </c>
      <c r="M70" s="233"/>
      <c r="O70" s="231">
        <f t="shared" si="0"/>
        <v>0</v>
      </c>
    </row>
    <row r="71" spans="1:15">
      <c r="A71" s="234" t="s">
        <v>1094</v>
      </c>
      <c r="B71" s="218" t="s">
        <v>616</v>
      </c>
      <c r="C71" s="219" t="s">
        <v>1154</v>
      </c>
      <c r="D71" s="219" t="s">
        <v>25</v>
      </c>
      <c r="E71" s="220" t="s">
        <v>26</v>
      </c>
      <c r="F71" s="239">
        <v>40812</v>
      </c>
      <c r="G71" s="236">
        <v>40924</v>
      </c>
      <c r="H71" s="236">
        <v>40928</v>
      </c>
      <c r="I71" s="230">
        <v>39028.25</v>
      </c>
      <c r="J71" s="237"/>
      <c r="K71" s="237"/>
      <c r="L71" s="238"/>
      <c r="M71" s="233"/>
      <c r="O71" s="231">
        <f t="shared" si="0"/>
        <v>0</v>
      </c>
    </row>
    <row r="72" spans="1:15">
      <c r="A72" s="234" t="s">
        <v>1095</v>
      </c>
      <c r="B72" s="218" t="s">
        <v>621</v>
      </c>
      <c r="C72" s="219" t="s">
        <v>1154</v>
      </c>
      <c r="D72" s="219" t="s">
        <v>25</v>
      </c>
      <c r="E72" s="220" t="s">
        <v>26</v>
      </c>
      <c r="F72" s="239">
        <v>40812</v>
      </c>
      <c r="G72" s="236">
        <v>40924</v>
      </c>
      <c r="H72" s="236">
        <v>40928</v>
      </c>
      <c r="I72" s="230">
        <v>87894.86</v>
      </c>
      <c r="J72" s="237">
        <f>+I72+I71</f>
        <v>126923.11</v>
      </c>
      <c r="K72" s="237">
        <v>118900</v>
      </c>
      <c r="L72" s="238">
        <f>+J72-K72</f>
        <v>8023.1100000000006</v>
      </c>
      <c r="M72" s="233"/>
      <c r="O72" s="231">
        <f t="shared" si="0"/>
        <v>0</v>
      </c>
    </row>
    <row r="73" spans="1:15">
      <c r="A73" s="234" t="s">
        <v>1196</v>
      </c>
      <c r="B73" s="218" t="s">
        <v>28</v>
      </c>
      <c r="C73" s="219" t="s">
        <v>1197</v>
      </c>
      <c r="D73" s="219" t="s">
        <v>38</v>
      </c>
      <c r="E73" s="220" t="s">
        <v>33</v>
      </c>
      <c r="F73" s="239">
        <v>40908</v>
      </c>
      <c r="G73" s="236">
        <v>40945</v>
      </c>
      <c r="H73" s="236">
        <v>40955</v>
      </c>
      <c r="I73" s="230">
        <v>27070.46</v>
      </c>
      <c r="J73" s="230"/>
      <c r="K73" s="230"/>
      <c r="L73" s="224"/>
      <c r="M73" s="233"/>
      <c r="O73" s="231">
        <f t="shared" si="0"/>
        <v>0</v>
      </c>
    </row>
    <row r="74" spans="1:15">
      <c r="A74" s="234" t="s">
        <v>1198</v>
      </c>
      <c r="B74" s="218" t="s">
        <v>30</v>
      </c>
      <c r="C74" s="219" t="s">
        <v>1197</v>
      </c>
      <c r="D74" s="219" t="s">
        <v>38</v>
      </c>
      <c r="E74" s="220" t="s">
        <v>33</v>
      </c>
      <c r="F74" s="239">
        <v>40908</v>
      </c>
      <c r="G74" s="236">
        <v>41050</v>
      </c>
      <c r="H74" s="236"/>
      <c r="I74" s="230">
        <v>550.20000000000005</v>
      </c>
      <c r="J74" s="230"/>
      <c r="K74" s="230"/>
      <c r="L74" s="224"/>
      <c r="M74" s="233"/>
      <c r="O74" s="231">
        <f t="shared" si="0"/>
        <v>0</v>
      </c>
    </row>
    <row r="75" spans="1:15">
      <c r="A75" s="234" t="s">
        <v>1199</v>
      </c>
      <c r="B75" s="218" t="s">
        <v>28</v>
      </c>
      <c r="C75" s="219" t="s">
        <v>1197</v>
      </c>
      <c r="D75" s="219" t="s">
        <v>38</v>
      </c>
      <c r="E75" s="220" t="s">
        <v>33</v>
      </c>
      <c r="F75" s="239">
        <v>40908</v>
      </c>
      <c r="G75" s="236">
        <v>41081</v>
      </c>
      <c r="H75" s="236"/>
      <c r="I75" s="230">
        <v>50000</v>
      </c>
      <c r="J75" s="230"/>
      <c r="K75" s="230"/>
      <c r="L75" s="224"/>
      <c r="M75" s="233"/>
      <c r="O75" s="231">
        <f t="shared" si="0"/>
        <v>0</v>
      </c>
    </row>
    <row r="76" spans="1:15">
      <c r="A76" s="234" t="s">
        <v>1200</v>
      </c>
      <c r="B76" s="218" t="s">
        <v>737</v>
      </c>
      <c r="C76" s="219" t="s">
        <v>1197</v>
      </c>
      <c r="D76" s="219" t="s">
        <v>38</v>
      </c>
      <c r="E76" s="220" t="s">
        <v>33</v>
      </c>
      <c r="F76" s="239">
        <v>40908</v>
      </c>
      <c r="G76" s="236">
        <v>41081</v>
      </c>
      <c r="H76" s="236">
        <v>40955</v>
      </c>
      <c r="I76" s="230">
        <v>55000</v>
      </c>
      <c r="J76" s="230">
        <f>SUM(I73:I76)</f>
        <v>132620.66</v>
      </c>
      <c r="K76" s="230">
        <v>118900</v>
      </c>
      <c r="L76" s="224">
        <f>+J76-K76</f>
        <v>13720.660000000003</v>
      </c>
      <c r="M76" s="233"/>
      <c r="O76" s="231">
        <f t="shared" ref="O76:O139" si="1">IF($J76&gt;P$8,$J76-P$8,0)</f>
        <v>0</v>
      </c>
    </row>
    <row r="77" spans="1:15">
      <c r="A77" s="234" t="s">
        <v>1114</v>
      </c>
      <c r="B77" s="218" t="s">
        <v>737</v>
      </c>
      <c r="C77" s="219" t="s">
        <v>1166</v>
      </c>
      <c r="D77" s="219" t="s">
        <v>517</v>
      </c>
      <c r="E77" s="220" t="s">
        <v>33</v>
      </c>
      <c r="F77" s="239">
        <v>40878</v>
      </c>
      <c r="G77" s="236">
        <v>40896</v>
      </c>
      <c r="H77" s="236">
        <v>40945</v>
      </c>
      <c r="I77" s="230">
        <v>127500</v>
      </c>
      <c r="J77" s="237"/>
      <c r="K77" s="237"/>
      <c r="L77" s="238"/>
      <c r="M77" s="233"/>
      <c r="O77" s="231">
        <f t="shared" si="1"/>
        <v>0</v>
      </c>
    </row>
    <row r="78" spans="1:15">
      <c r="A78" s="234" t="s">
        <v>1115</v>
      </c>
      <c r="B78" s="218" t="s">
        <v>621</v>
      </c>
      <c r="C78" s="219" t="s">
        <v>1166</v>
      </c>
      <c r="D78" s="219" t="s">
        <v>517</v>
      </c>
      <c r="E78" s="220" t="s">
        <v>33</v>
      </c>
      <c r="F78" s="239">
        <v>40878</v>
      </c>
      <c r="G78" s="236">
        <v>40896</v>
      </c>
      <c r="H78" s="236">
        <v>40945</v>
      </c>
      <c r="I78" s="230">
        <v>78000</v>
      </c>
      <c r="J78" s="237"/>
      <c r="K78" s="237"/>
      <c r="L78" s="238"/>
      <c r="M78" s="233"/>
      <c r="O78" s="231">
        <f t="shared" si="1"/>
        <v>0</v>
      </c>
    </row>
    <row r="79" spans="1:15">
      <c r="A79" s="234" t="s">
        <v>1116</v>
      </c>
      <c r="B79" s="218" t="s">
        <v>616</v>
      </c>
      <c r="C79" s="219" t="s">
        <v>1166</v>
      </c>
      <c r="D79" s="219" t="s">
        <v>517</v>
      </c>
      <c r="E79" s="220" t="s">
        <v>33</v>
      </c>
      <c r="F79" s="239">
        <v>40878</v>
      </c>
      <c r="G79" s="236">
        <v>40896</v>
      </c>
      <c r="H79" s="236">
        <v>40945</v>
      </c>
      <c r="I79" s="230">
        <v>66077</v>
      </c>
      <c r="J79" s="237"/>
      <c r="K79" s="237"/>
      <c r="L79" s="238"/>
      <c r="M79" s="233"/>
      <c r="O79" s="231">
        <f t="shared" si="1"/>
        <v>0</v>
      </c>
    </row>
    <row r="80" spans="1:15">
      <c r="A80" s="234" t="s">
        <v>1117</v>
      </c>
      <c r="B80" s="218" t="s">
        <v>646</v>
      </c>
      <c r="C80" s="219" t="s">
        <v>1166</v>
      </c>
      <c r="D80" s="219" t="s">
        <v>517</v>
      </c>
      <c r="E80" s="220" t="s">
        <v>33</v>
      </c>
      <c r="F80" s="239">
        <v>40878</v>
      </c>
      <c r="G80" s="236">
        <v>40896</v>
      </c>
      <c r="H80" s="236">
        <v>40945</v>
      </c>
      <c r="I80" s="230">
        <v>40000</v>
      </c>
      <c r="J80" s="237"/>
      <c r="K80" s="237"/>
      <c r="L80" s="238"/>
      <c r="M80" s="233"/>
      <c r="O80" s="231">
        <f t="shared" si="1"/>
        <v>0</v>
      </c>
    </row>
    <row r="81" spans="1:15">
      <c r="A81" s="234" t="s">
        <v>1118</v>
      </c>
      <c r="B81" s="218" t="s">
        <v>1153</v>
      </c>
      <c r="C81" s="219" t="s">
        <v>1166</v>
      </c>
      <c r="D81" s="219" t="s">
        <v>517</v>
      </c>
      <c r="E81" s="220" t="s">
        <v>33</v>
      </c>
      <c r="F81" s="239">
        <v>40878</v>
      </c>
      <c r="G81" s="236">
        <v>40896</v>
      </c>
      <c r="H81" s="236">
        <v>40945</v>
      </c>
      <c r="I81" s="230">
        <v>20000</v>
      </c>
      <c r="J81" s="237">
        <f>SUM(I77:I81)</f>
        <v>331577</v>
      </c>
      <c r="K81" s="237">
        <v>118900</v>
      </c>
      <c r="L81" s="238">
        <f>+J81-K81</f>
        <v>212677</v>
      </c>
      <c r="M81" s="233"/>
      <c r="O81" s="231">
        <f t="shared" si="1"/>
        <v>0</v>
      </c>
    </row>
    <row r="82" spans="1:15">
      <c r="A82" s="234" t="s">
        <v>685</v>
      </c>
      <c r="B82" s="218" t="s">
        <v>621</v>
      </c>
      <c r="C82" s="219" t="s">
        <v>686</v>
      </c>
      <c r="D82" s="219" t="s">
        <v>38</v>
      </c>
      <c r="E82" s="220" t="s">
        <v>33</v>
      </c>
      <c r="F82" s="239">
        <v>40566</v>
      </c>
      <c r="G82" s="236">
        <v>40715</v>
      </c>
      <c r="H82" s="236">
        <v>40781</v>
      </c>
      <c r="I82" s="230">
        <v>126574.59</v>
      </c>
      <c r="J82" s="230">
        <f>+I82</f>
        <v>126574.59</v>
      </c>
      <c r="K82" s="230">
        <v>118900</v>
      </c>
      <c r="L82" s="224">
        <f>+J82-K82</f>
        <v>7674.5899999999965</v>
      </c>
      <c r="M82" s="233"/>
      <c r="O82" s="231">
        <f t="shared" si="1"/>
        <v>0</v>
      </c>
    </row>
    <row r="83" spans="1:15">
      <c r="A83" s="234" t="s">
        <v>687</v>
      </c>
      <c r="B83" s="218" t="s">
        <v>621</v>
      </c>
      <c r="C83" s="219" t="s">
        <v>688</v>
      </c>
      <c r="D83" s="219" t="s">
        <v>69</v>
      </c>
      <c r="E83" s="220" t="s">
        <v>33</v>
      </c>
      <c r="F83" s="239">
        <v>40620</v>
      </c>
      <c r="G83" s="236">
        <v>40676</v>
      </c>
      <c r="H83" s="236">
        <v>40686</v>
      </c>
      <c r="I83" s="230">
        <v>61773.94</v>
      </c>
      <c r="J83" s="230"/>
      <c r="K83" s="230"/>
      <c r="L83" s="224"/>
      <c r="M83" s="233"/>
      <c r="O83" s="231">
        <f t="shared" si="1"/>
        <v>0</v>
      </c>
    </row>
    <row r="84" spans="1:15">
      <c r="A84" s="234" t="s">
        <v>689</v>
      </c>
      <c r="B84" s="218" t="s">
        <v>616</v>
      </c>
      <c r="C84" s="219" t="s">
        <v>688</v>
      </c>
      <c r="D84" s="219" t="s">
        <v>69</v>
      </c>
      <c r="E84" s="220" t="s">
        <v>33</v>
      </c>
      <c r="F84" s="239">
        <v>40620</v>
      </c>
      <c r="G84" s="236">
        <v>40669</v>
      </c>
      <c r="H84" s="236">
        <v>40681</v>
      </c>
      <c r="I84" s="230">
        <v>20161.14</v>
      </c>
      <c r="J84" s="230"/>
      <c r="K84" s="230"/>
      <c r="L84" s="224"/>
      <c r="M84" s="233"/>
      <c r="O84" s="231">
        <f t="shared" si="1"/>
        <v>0</v>
      </c>
    </row>
    <row r="85" spans="1:15">
      <c r="A85" s="234" t="s">
        <v>690</v>
      </c>
      <c r="B85" s="218" t="s">
        <v>616</v>
      </c>
      <c r="C85" s="219" t="s">
        <v>688</v>
      </c>
      <c r="D85" s="219" t="s">
        <v>69</v>
      </c>
      <c r="E85" s="220" t="s">
        <v>33</v>
      </c>
      <c r="F85" s="239">
        <v>40620</v>
      </c>
      <c r="G85" s="236">
        <v>40676</v>
      </c>
      <c r="H85" s="236">
        <v>40686</v>
      </c>
      <c r="I85" s="230">
        <v>73457.740000000005</v>
      </c>
      <c r="J85" s="230"/>
      <c r="K85" s="230"/>
      <c r="L85" s="224"/>
      <c r="M85" s="233"/>
      <c r="O85" s="231">
        <f t="shared" si="1"/>
        <v>0</v>
      </c>
    </row>
    <row r="86" spans="1:15">
      <c r="A86" s="234" t="s">
        <v>691</v>
      </c>
      <c r="B86" s="218" t="s">
        <v>621</v>
      </c>
      <c r="C86" s="219" t="s">
        <v>688</v>
      </c>
      <c r="D86" s="219" t="s">
        <v>69</v>
      </c>
      <c r="E86" s="220" t="s">
        <v>33</v>
      </c>
      <c r="F86" s="239">
        <v>40620</v>
      </c>
      <c r="G86" s="236">
        <v>40695</v>
      </c>
      <c r="H86" s="236">
        <v>40700</v>
      </c>
      <c r="I86" s="230">
        <v>88399.12</v>
      </c>
      <c r="J86" s="230"/>
      <c r="K86" s="230"/>
      <c r="L86" s="224"/>
      <c r="M86" s="233"/>
      <c r="O86" s="231">
        <f t="shared" si="1"/>
        <v>0</v>
      </c>
    </row>
    <row r="87" spans="1:15">
      <c r="A87" s="234" t="s">
        <v>691</v>
      </c>
      <c r="B87" s="218" t="s">
        <v>621</v>
      </c>
      <c r="C87" s="219" t="s">
        <v>688</v>
      </c>
      <c r="D87" s="219" t="s">
        <v>131</v>
      </c>
      <c r="E87" s="220" t="s">
        <v>33</v>
      </c>
      <c r="F87" s="239">
        <v>40620</v>
      </c>
      <c r="G87" s="236">
        <v>40695</v>
      </c>
      <c r="H87" s="236">
        <v>40700</v>
      </c>
      <c r="I87" s="230">
        <v>22099.77</v>
      </c>
      <c r="J87" s="237">
        <f>SUM(I83:I87)</f>
        <v>265891.71000000002</v>
      </c>
      <c r="K87" s="237">
        <v>118900</v>
      </c>
      <c r="L87" s="238">
        <f>+J87-K87</f>
        <v>146991.71000000002</v>
      </c>
      <c r="M87" s="233"/>
      <c r="O87" s="231">
        <f t="shared" si="1"/>
        <v>0</v>
      </c>
    </row>
    <row r="88" spans="1:15">
      <c r="A88" s="234" t="s">
        <v>1143</v>
      </c>
      <c r="B88" s="218" t="s">
        <v>616</v>
      </c>
      <c r="C88" s="219" t="s">
        <v>1178</v>
      </c>
      <c r="D88" s="219" t="s">
        <v>239</v>
      </c>
      <c r="E88" s="220" t="s">
        <v>33</v>
      </c>
      <c r="F88" s="239">
        <v>40796</v>
      </c>
      <c r="G88" s="236">
        <v>41071</v>
      </c>
      <c r="H88" s="236">
        <v>41086</v>
      </c>
      <c r="I88" s="230">
        <v>79000</v>
      </c>
      <c r="J88" s="237"/>
      <c r="K88" s="237"/>
      <c r="L88" s="238"/>
      <c r="M88" s="233"/>
      <c r="O88" s="231">
        <f t="shared" si="1"/>
        <v>0</v>
      </c>
    </row>
    <row r="89" spans="1:15">
      <c r="A89" s="234" t="s">
        <v>1144</v>
      </c>
      <c r="B89" s="218" t="s">
        <v>668</v>
      </c>
      <c r="C89" s="219" t="s">
        <v>1178</v>
      </c>
      <c r="D89" s="219" t="s">
        <v>239</v>
      </c>
      <c r="E89" s="220" t="s">
        <v>33</v>
      </c>
      <c r="F89" s="239">
        <v>40796</v>
      </c>
      <c r="G89" s="236">
        <v>41071</v>
      </c>
      <c r="H89" s="236">
        <v>41086</v>
      </c>
      <c r="I89" s="230">
        <v>295998.33</v>
      </c>
      <c r="J89" s="237"/>
      <c r="K89" s="237"/>
      <c r="L89" s="238"/>
      <c r="M89" s="233"/>
      <c r="O89" s="231">
        <f t="shared" si="1"/>
        <v>0</v>
      </c>
    </row>
    <row r="90" spans="1:15">
      <c r="A90" s="234" t="s">
        <v>1195</v>
      </c>
      <c r="B90" s="218" t="s">
        <v>23</v>
      </c>
      <c r="C90" s="219" t="s">
        <v>1178</v>
      </c>
      <c r="D90" s="219" t="s">
        <v>239</v>
      </c>
      <c r="E90" s="220" t="s">
        <v>33</v>
      </c>
      <c r="F90" s="239">
        <v>40796</v>
      </c>
      <c r="G90" s="236">
        <v>41557</v>
      </c>
      <c r="H90" s="236">
        <v>41558</v>
      </c>
      <c r="I90" s="230">
        <v>53000</v>
      </c>
      <c r="J90" s="230">
        <f>SUM(I88:I90)</f>
        <v>427998.33</v>
      </c>
      <c r="K90" s="230">
        <v>118900</v>
      </c>
      <c r="L90" s="224">
        <f>+J90-K90</f>
        <v>309098.33</v>
      </c>
      <c r="M90" s="233"/>
      <c r="O90" s="231">
        <f t="shared" si="1"/>
        <v>0</v>
      </c>
    </row>
    <row r="91" spans="1:15">
      <c r="A91" s="234" t="s">
        <v>692</v>
      </c>
      <c r="B91" s="218" t="s">
        <v>621</v>
      </c>
      <c r="C91" s="219" t="s">
        <v>693</v>
      </c>
      <c r="D91" s="219" t="s">
        <v>69</v>
      </c>
      <c r="E91" s="220" t="s">
        <v>33</v>
      </c>
      <c r="F91" s="239">
        <v>40805</v>
      </c>
      <c r="G91" s="236">
        <v>40885</v>
      </c>
      <c r="H91" s="236">
        <v>40903</v>
      </c>
      <c r="I91" s="230">
        <v>159989.69</v>
      </c>
      <c r="J91" s="230"/>
      <c r="K91" s="230"/>
      <c r="L91" s="224"/>
      <c r="M91" s="233"/>
      <c r="O91" s="231">
        <f t="shared" si="1"/>
        <v>0</v>
      </c>
    </row>
    <row r="92" spans="1:15">
      <c r="A92" s="234" t="s">
        <v>694</v>
      </c>
      <c r="B92" s="218" t="s">
        <v>646</v>
      </c>
      <c r="C92" s="219" t="s">
        <v>693</v>
      </c>
      <c r="D92" s="219" t="s">
        <v>69</v>
      </c>
      <c r="E92" s="220" t="s">
        <v>33</v>
      </c>
      <c r="F92" s="239">
        <v>40805</v>
      </c>
      <c r="G92" s="236">
        <v>40885</v>
      </c>
      <c r="H92" s="236">
        <v>40903</v>
      </c>
      <c r="I92" s="230">
        <v>10000</v>
      </c>
      <c r="J92" s="230">
        <f>+I92+I91</f>
        <v>169989.69</v>
      </c>
      <c r="K92" s="230">
        <v>118900</v>
      </c>
      <c r="L92" s="224">
        <f>+J92-K92</f>
        <v>51089.69</v>
      </c>
      <c r="M92" s="233"/>
      <c r="O92" s="231">
        <f t="shared" si="1"/>
        <v>0</v>
      </c>
    </row>
    <row r="93" spans="1:15">
      <c r="A93" s="234" t="s">
        <v>695</v>
      </c>
      <c r="B93" s="218" t="s">
        <v>616</v>
      </c>
      <c r="C93" s="219" t="s">
        <v>696</v>
      </c>
      <c r="D93" s="219" t="s">
        <v>192</v>
      </c>
      <c r="E93" s="220" t="s">
        <v>33</v>
      </c>
      <c r="F93" s="239">
        <v>40742</v>
      </c>
      <c r="G93" s="236">
        <v>40787</v>
      </c>
      <c r="H93" s="236">
        <v>40805</v>
      </c>
      <c r="I93" s="230">
        <v>114500.53</v>
      </c>
      <c r="J93" s="230"/>
      <c r="K93" s="230"/>
      <c r="L93" s="224"/>
      <c r="M93" s="233"/>
      <c r="O93" s="231">
        <f t="shared" si="1"/>
        <v>0</v>
      </c>
    </row>
    <row r="94" spans="1:15">
      <c r="A94" s="234" t="s">
        <v>697</v>
      </c>
      <c r="B94" s="218" t="s">
        <v>621</v>
      </c>
      <c r="C94" s="219" t="s">
        <v>696</v>
      </c>
      <c r="D94" s="219" t="s">
        <v>192</v>
      </c>
      <c r="E94" s="220" t="s">
        <v>33</v>
      </c>
      <c r="F94" s="239">
        <v>40742</v>
      </c>
      <c r="G94" s="236">
        <v>40787</v>
      </c>
      <c r="H94" s="236">
        <v>40805</v>
      </c>
      <c r="I94" s="230">
        <v>22640</v>
      </c>
      <c r="J94" s="230"/>
      <c r="K94" s="230"/>
      <c r="L94" s="224"/>
      <c r="M94" s="233"/>
      <c r="O94" s="231">
        <f t="shared" si="1"/>
        <v>0</v>
      </c>
    </row>
    <row r="95" spans="1:15">
      <c r="A95" s="234" t="s">
        <v>1130</v>
      </c>
      <c r="B95" s="218" t="s">
        <v>616</v>
      </c>
      <c r="C95" s="219" t="s">
        <v>696</v>
      </c>
      <c r="D95" s="219" t="s">
        <v>192</v>
      </c>
      <c r="E95" s="220" t="s">
        <v>33</v>
      </c>
      <c r="F95" s="239">
        <v>40742</v>
      </c>
      <c r="G95" s="236">
        <v>41011</v>
      </c>
      <c r="H95" s="236">
        <v>41015</v>
      </c>
      <c r="I95" s="230">
        <v>17457.310000000001</v>
      </c>
      <c r="J95" s="237">
        <f>SUM(I93:I95)</f>
        <v>154597.84</v>
      </c>
      <c r="K95" s="237">
        <v>118900</v>
      </c>
      <c r="L95" s="238">
        <f>+J95-K95</f>
        <v>35697.839999999997</v>
      </c>
      <c r="M95" s="233"/>
      <c r="O95" s="231">
        <f t="shared" si="1"/>
        <v>0</v>
      </c>
    </row>
    <row r="96" spans="1:15">
      <c r="A96" s="234" t="s">
        <v>698</v>
      </c>
      <c r="B96" s="218" t="s">
        <v>616</v>
      </c>
      <c r="C96" s="219" t="s">
        <v>699</v>
      </c>
      <c r="D96" s="219" t="s">
        <v>700</v>
      </c>
      <c r="E96" s="220" t="s">
        <v>33</v>
      </c>
      <c r="F96" s="239">
        <v>40791</v>
      </c>
      <c r="G96" s="236">
        <v>40829</v>
      </c>
      <c r="H96" s="236">
        <v>40837</v>
      </c>
      <c r="I96" s="230">
        <v>142623.44</v>
      </c>
      <c r="J96" s="230">
        <f>+I96</f>
        <v>142623.44</v>
      </c>
      <c r="K96" s="230">
        <v>118900</v>
      </c>
      <c r="L96" s="224">
        <f>+J96-K96</f>
        <v>23723.440000000002</v>
      </c>
      <c r="M96" s="233"/>
      <c r="O96" s="231">
        <f t="shared" si="1"/>
        <v>0</v>
      </c>
    </row>
    <row r="97" spans="1:15">
      <c r="A97" s="234" t="s">
        <v>701</v>
      </c>
      <c r="B97" s="218" t="s">
        <v>621</v>
      </c>
      <c r="C97" s="219" t="s">
        <v>702</v>
      </c>
      <c r="D97" s="219" t="s">
        <v>230</v>
      </c>
      <c r="E97" s="220" t="s">
        <v>26</v>
      </c>
      <c r="F97" s="239">
        <v>40750</v>
      </c>
      <c r="G97" s="236">
        <v>40777</v>
      </c>
      <c r="H97" s="236">
        <v>40821</v>
      </c>
      <c r="I97" s="230">
        <v>119654.72</v>
      </c>
      <c r="J97" s="230"/>
      <c r="K97" s="230"/>
      <c r="L97" s="224"/>
      <c r="M97" s="233"/>
      <c r="O97" s="231">
        <f t="shared" si="1"/>
        <v>0</v>
      </c>
    </row>
    <row r="98" spans="1:15">
      <c r="A98" s="234" t="s">
        <v>703</v>
      </c>
      <c r="B98" s="218" t="s">
        <v>616</v>
      </c>
      <c r="C98" s="219" t="s">
        <v>702</v>
      </c>
      <c r="D98" s="219" t="s">
        <v>230</v>
      </c>
      <c r="E98" s="220" t="s">
        <v>26</v>
      </c>
      <c r="F98" s="239">
        <v>40750</v>
      </c>
      <c r="G98" s="236">
        <v>40777</v>
      </c>
      <c r="H98" s="236">
        <v>40821</v>
      </c>
      <c r="I98" s="230">
        <v>286900</v>
      </c>
      <c r="J98" s="230">
        <f>+I98+I97</f>
        <v>406554.72</v>
      </c>
      <c r="K98" s="230">
        <v>118900</v>
      </c>
      <c r="L98" s="224">
        <f>+J98-K98</f>
        <v>287654.71999999997</v>
      </c>
      <c r="M98" s="233"/>
      <c r="O98" s="231">
        <f t="shared" si="1"/>
        <v>0</v>
      </c>
    </row>
    <row r="99" spans="1:15">
      <c r="A99" s="234" t="s">
        <v>704</v>
      </c>
      <c r="B99" s="218" t="s">
        <v>616</v>
      </c>
      <c r="C99" s="219" t="s">
        <v>705</v>
      </c>
      <c r="D99" s="219" t="s">
        <v>230</v>
      </c>
      <c r="E99" s="220" t="s">
        <v>26</v>
      </c>
      <c r="F99" s="239">
        <v>40718</v>
      </c>
      <c r="G99" s="236">
        <v>40774</v>
      </c>
      <c r="H99" s="236">
        <v>40816</v>
      </c>
      <c r="I99" s="230">
        <v>35474.800000000003</v>
      </c>
      <c r="J99" s="230"/>
      <c r="K99" s="230"/>
      <c r="L99" s="224"/>
      <c r="M99" s="233"/>
      <c r="O99" s="231">
        <f t="shared" si="1"/>
        <v>0</v>
      </c>
    </row>
    <row r="100" spans="1:15">
      <c r="A100" s="234" t="s">
        <v>706</v>
      </c>
      <c r="B100" s="218" t="s">
        <v>621</v>
      </c>
      <c r="C100" s="219" t="s">
        <v>705</v>
      </c>
      <c r="D100" s="219" t="s">
        <v>230</v>
      </c>
      <c r="E100" s="220" t="s">
        <v>26</v>
      </c>
      <c r="F100" s="239">
        <v>40718</v>
      </c>
      <c r="G100" s="236">
        <v>40774</v>
      </c>
      <c r="H100" s="236">
        <v>40841</v>
      </c>
      <c r="I100" s="230">
        <v>126037.08</v>
      </c>
      <c r="J100" s="230"/>
      <c r="K100" s="230"/>
      <c r="L100" s="224"/>
      <c r="M100" s="233"/>
      <c r="O100" s="231">
        <f t="shared" si="1"/>
        <v>0</v>
      </c>
    </row>
    <row r="101" spans="1:15">
      <c r="A101" s="234" t="s">
        <v>707</v>
      </c>
      <c r="B101" s="218" t="s">
        <v>616</v>
      </c>
      <c r="C101" s="219" t="s">
        <v>705</v>
      </c>
      <c r="D101" s="219" t="s">
        <v>230</v>
      </c>
      <c r="E101" s="220" t="s">
        <v>26</v>
      </c>
      <c r="F101" s="239">
        <v>40718</v>
      </c>
      <c r="G101" s="236">
        <v>40774</v>
      </c>
      <c r="H101" s="236">
        <v>40841</v>
      </c>
      <c r="I101" s="230">
        <v>150000</v>
      </c>
      <c r="J101" s="230"/>
      <c r="K101" s="230"/>
      <c r="L101" s="224"/>
      <c r="M101" s="233"/>
      <c r="O101" s="231">
        <f t="shared" si="1"/>
        <v>0</v>
      </c>
    </row>
    <row r="102" spans="1:15">
      <c r="A102" s="234" t="s">
        <v>708</v>
      </c>
      <c r="B102" s="218" t="s">
        <v>668</v>
      </c>
      <c r="C102" s="219" t="s">
        <v>705</v>
      </c>
      <c r="D102" s="219" t="s">
        <v>230</v>
      </c>
      <c r="E102" s="220" t="s">
        <v>26</v>
      </c>
      <c r="F102" s="239">
        <v>40718</v>
      </c>
      <c r="G102" s="236">
        <v>40774</v>
      </c>
      <c r="H102" s="236">
        <v>40841</v>
      </c>
      <c r="I102" s="230">
        <v>122338.79</v>
      </c>
      <c r="J102" s="230"/>
      <c r="K102" s="230"/>
      <c r="L102" s="224"/>
      <c r="M102" s="233"/>
      <c r="O102" s="231">
        <f t="shared" si="1"/>
        <v>0</v>
      </c>
    </row>
    <row r="103" spans="1:15">
      <c r="A103" s="234" t="s">
        <v>1108</v>
      </c>
      <c r="B103" s="218" t="s">
        <v>616</v>
      </c>
      <c r="C103" s="219" t="s">
        <v>1162</v>
      </c>
      <c r="D103" s="219" t="s">
        <v>25</v>
      </c>
      <c r="E103" s="220" t="s">
        <v>26</v>
      </c>
      <c r="F103" s="239">
        <v>40718</v>
      </c>
      <c r="G103" s="236">
        <v>40793</v>
      </c>
      <c r="H103" s="236">
        <v>40814</v>
      </c>
      <c r="I103" s="230">
        <v>35485.800000000003</v>
      </c>
      <c r="J103" s="237">
        <f>SUM(I99:I103)</f>
        <v>469336.47</v>
      </c>
      <c r="K103" s="237">
        <v>118900</v>
      </c>
      <c r="L103" s="238">
        <f>+J103-K103</f>
        <v>350436.47</v>
      </c>
      <c r="M103" s="233"/>
      <c r="O103" s="231">
        <f t="shared" si="1"/>
        <v>0</v>
      </c>
    </row>
    <row r="104" spans="1:15">
      <c r="A104" s="234" t="s">
        <v>709</v>
      </c>
      <c r="B104" s="218" t="s">
        <v>616</v>
      </c>
      <c r="C104" s="219" t="s">
        <v>710</v>
      </c>
      <c r="D104" s="219" t="s">
        <v>38</v>
      </c>
      <c r="E104" s="220" t="s">
        <v>33</v>
      </c>
      <c r="F104" s="239">
        <v>40629</v>
      </c>
      <c r="G104" s="236">
        <v>40837</v>
      </c>
      <c r="H104" s="236">
        <v>40862</v>
      </c>
      <c r="I104" s="230">
        <v>500000</v>
      </c>
      <c r="J104" s="230"/>
      <c r="K104" s="230"/>
      <c r="L104" s="224"/>
      <c r="M104" s="233"/>
      <c r="O104" s="231">
        <f t="shared" si="1"/>
        <v>0</v>
      </c>
    </row>
    <row r="105" spans="1:15">
      <c r="A105" s="234" t="s">
        <v>711</v>
      </c>
      <c r="B105" s="218" t="s">
        <v>621</v>
      </c>
      <c r="C105" s="219" t="s">
        <v>710</v>
      </c>
      <c r="D105" s="219" t="s">
        <v>38</v>
      </c>
      <c r="E105" s="220" t="s">
        <v>33</v>
      </c>
      <c r="F105" s="239">
        <v>40629</v>
      </c>
      <c r="G105" s="236">
        <v>40837</v>
      </c>
      <c r="H105" s="236">
        <v>40862</v>
      </c>
      <c r="I105" s="230">
        <v>119354.46</v>
      </c>
      <c r="J105" s="230">
        <f>+I105+I104</f>
        <v>619354.46</v>
      </c>
      <c r="K105" s="230">
        <v>118900</v>
      </c>
      <c r="L105" s="224">
        <f>+J105-K105</f>
        <v>500454.45999999996</v>
      </c>
      <c r="M105" s="233"/>
      <c r="O105" s="231">
        <f t="shared" si="1"/>
        <v>0</v>
      </c>
    </row>
    <row r="106" spans="1:15">
      <c r="A106" s="234" t="s">
        <v>712</v>
      </c>
      <c r="B106" s="218" t="s">
        <v>616</v>
      </c>
      <c r="C106" s="219" t="s">
        <v>713</v>
      </c>
      <c r="D106" s="219" t="s">
        <v>38</v>
      </c>
      <c r="E106" s="220" t="s">
        <v>33</v>
      </c>
      <c r="F106" s="239">
        <v>40707</v>
      </c>
      <c r="G106" s="236">
        <v>40724</v>
      </c>
      <c r="H106" s="236">
        <v>40756</v>
      </c>
      <c r="I106" s="230">
        <v>21773.54</v>
      </c>
      <c r="J106" s="230"/>
      <c r="K106" s="230"/>
      <c r="L106" s="224"/>
      <c r="M106" s="233"/>
      <c r="O106" s="231">
        <f t="shared" si="1"/>
        <v>0</v>
      </c>
    </row>
    <row r="107" spans="1:15">
      <c r="A107" s="234" t="s">
        <v>714</v>
      </c>
      <c r="B107" s="218" t="s">
        <v>616</v>
      </c>
      <c r="C107" s="219" t="s">
        <v>713</v>
      </c>
      <c r="D107" s="219" t="s">
        <v>38</v>
      </c>
      <c r="E107" s="220" t="s">
        <v>33</v>
      </c>
      <c r="F107" s="239">
        <v>40707</v>
      </c>
      <c r="G107" s="236">
        <v>40787</v>
      </c>
      <c r="H107" s="236">
        <v>40805</v>
      </c>
      <c r="I107" s="230">
        <v>145387.69</v>
      </c>
      <c r="J107" s="230"/>
      <c r="K107" s="230"/>
      <c r="L107" s="224"/>
      <c r="M107" s="233"/>
      <c r="O107" s="231">
        <f t="shared" si="1"/>
        <v>0</v>
      </c>
    </row>
    <row r="108" spans="1:15">
      <c r="A108" s="234" t="s">
        <v>715</v>
      </c>
      <c r="B108" s="218" t="s">
        <v>621</v>
      </c>
      <c r="C108" s="219" t="s">
        <v>713</v>
      </c>
      <c r="D108" s="219" t="s">
        <v>38</v>
      </c>
      <c r="E108" s="220" t="s">
        <v>33</v>
      </c>
      <c r="F108" s="239">
        <v>40707</v>
      </c>
      <c r="G108" s="236">
        <v>40787</v>
      </c>
      <c r="H108" s="236">
        <v>40805</v>
      </c>
      <c r="I108" s="230">
        <v>29393.82</v>
      </c>
      <c r="J108" s="230">
        <f>+I108+I107+I106</f>
        <v>196555.05000000002</v>
      </c>
      <c r="K108" s="230">
        <v>118900</v>
      </c>
      <c r="L108" s="224">
        <f>+J108-K108</f>
        <v>77655.050000000017</v>
      </c>
      <c r="M108" s="233"/>
      <c r="O108" s="231">
        <f t="shared" si="1"/>
        <v>0</v>
      </c>
    </row>
    <row r="109" spans="1:15">
      <c r="A109" s="234" t="s">
        <v>716</v>
      </c>
      <c r="B109" s="218" t="s">
        <v>621</v>
      </c>
      <c r="C109" s="219" t="s">
        <v>717</v>
      </c>
      <c r="D109" s="219" t="s">
        <v>38</v>
      </c>
      <c r="E109" s="220" t="s">
        <v>33</v>
      </c>
      <c r="F109" s="239">
        <v>40661</v>
      </c>
      <c r="G109" s="236">
        <v>40695</v>
      </c>
      <c r="H109" s="236">
        <v>40750</v>
      </c>
      <c r="I109" s="230">
        <v>52059.25</v>
      </c>
      <c r="J109" s="230"/>
      <c r="K109" s="230"/>
      <c r="L109" s="224"/>
      <c r="M109" s="233"/>
      <c r="O109" s="231">
        <f t="shared" si="1"/>
        <v>0</v>
      </c>
    </row>
    <row r="110" spans="1:15">
      <c r="A110" s="234" t="s">
        <v>718</v>
      </c>
      <c r="B110" s="218" t="s">
        <v>616</v>
      </c>
      <c r="C110" s="219" t="s">
        <v>717</v>
      </c>
      <c r="D110" s="219" t="s">
        <v>38</v>
      </c>
      <c r="E110" s="220" t="s">
        <v>33</v>
      </c>
      <c r="F110" s="239">
        <v>40661</v>
      </c>
      <c r="G110" s="236">
        <v>40695</v>
      </c>
      <c r="H110" s="236">
        <v>40750</v>
      </c>
      <c r="I110" s="230">
        <v>82000</v>
      </c>
      <c r="J110" s="230">
        <f>+I110+I109</f>
        <v>134059.25</v>
      </c>
      <c r="K110" s="230">
        <v>118900</v>
      </c>
      <c r="L110" s="224">
        <f>+J110-K110</f>
        <v>15159.25</v>
      </c>
      <c r="M110" s="233"/>
      <c r="O110" s="231">
        <f t="shared" si="1"/>
        <v>0</v>
      </c>
    </row>
    <row r="111" spans="1:15">
      <c r="A111" s="234" t="s">
        <v>719</v>
      </c>
      <c r="B111" s="218" t="s">
        <v>621</v>
      </c>
      <c r="C111" s="219" t="s">
        <v>720</v>
      </c>
      <c r="D111" s="219" t="s">
        <v>721</v>
      </c>
      <c r="E111" s="220" t="s">
        <v>26</v>
      </c>
      <c r="F111" s="239">
        <v>40588</v>
      </c>
      <c r="G111" s="236">
        <v>40625</v>
      </c>
      <c r="H111" s="236">
        <v>40647</v>
      </c>
      <c r="I111" s="230">
        <v>148872.13999999998</v>
      </c>
      <c r="J111" s="230"/>
      <c r="K111" s="230"/>
      <c r="L111" s="224"/>
      <c r="M111" s="233"/>
      <c r="O111" s="231">
        <f t="shared" si="1"/>
        <v>0</v>
      </c>
    </row>
    <row r="112" spans="1:15">
      <c r="A112" s="234" t="s">
        <v>722</v>
      </c>
      <c r="B112" s="218" t="s">
        <v>616</v>
      </c>
      <c r="C112" s="219" t="s">
        <v>720</v>
      </c>
      <c r="D112" s="219" t="s">
        <v>721</v>
      </c>
      <c r="E112" s="220" t="s">
        <v>26</v>
      </c>
      <c r="F112" s="239">
        <v>40588</v>
      </c>
      <c r="G112" s="236">
        <v>40625</v>
      </c>
      <c r="H112" s="236">
        <v>40647</v>
      </c>
      <c r="I112" s="230">
        <v>46250</v>
      </c>
      <c r="J112" s="230">
        <f>+I112+I111</f>
        <v>195122.13999999998</v>
      </c>
      <c r="K112" s="230">
        <v>118900</v>
      </c>
      <c r="L112" s="224">
        <f>+J112-K112</f>
        <v>76222.139999999985</v>
      </c>
      <c r="M112" s="233"/>
      <c r="O112" s="231">
        <f t="shared" si="1"/>
        <v>0</v>
      </c>
    </row>
    <row r="113" spans="1:15">
      <c r="A113" s="234" t="s">
        <v>723</v>
      </c>
      <c r="B113" s="218" t="s">
        <v>621</v>
      </c>
      <c r="C113" s="219" t="s">
        <v>724</v>
      </c>
      <c r="D113" s="219" t="s">
        <v>69</v>
      </c>
      <c r="E113" s="220" t="s">
        <v>33</v>
      </c>
      <c r="F113" s="239">
        <v>40652</v>
      </c>
      <c r="G113" s="236">
        <v>40667</v>
      </c>
      <c r="H113" s="236">
        <v>40679</v>
      </c>
      <c r="I113" s="230">
        <v>45498.27</v>
      </c>
      <c r="J113" s="230"/>
      <c r="K113" s="230"/>
      <c r="L113" s="224"/>
      <c r="M113" s="233"/>
      <c r="O113" s="231">
        <f t="shared" si="1"/>
        <v>0</v>
      </c>
    </row>
    <row r="114" spans="1:15">
      <c r="A114" s="234" t="s">
        <v>725</v>
      </c>
      <c r="B114" s="218" t="s">
        <v>616</v>
      </c>
      <c r="C114" s="219" t="s">
        <v>724</v>
      </c>
      <c r="D114" s="219" t="s">
        <v>69</v>
      </c>
      <c r="E114" s="220" t="s">
        <v>33</v>
      </c>
      <c r="F114" s="239">
        <v>40652</v>
      </c>
      <c r="G114" s="236">
        <v>40667</v>
      </c>
      <c r="H114" s="236">
        <v>40686</v>
      </c>
      <c r="I114" s="230">
        <v>89669.19</v>
      </c>
      <c r="J114" s="230">
        <f>+I114+I113</f>
        <v>135167.46</v>
      </c>
      <c r="K114" s="230">
        <v>118900</v>
      </c>
      <c r="L114" s="224">
        <f>+J114-K114</f>
        <v>16267.459999999992</v>
      </c>
      <c r="M114" s="233"/>
      <c r="O114" s="231">
        <f t="shared" si="1"/>
        <v>0</v>
      </c>
    </row>
    <row r="115" spans="1:15">
      <c r="A115" s="234" t="s">
        <v>1110</v>
      </c>
      <c r="B115" s="218" t="s">
        <v>621</v>
      </c>
      <c r="C115" s="219" t="s">
        <v>1163</v>
      </c>
      <c r="D115" s="219" t="s">
        <v>25</v>
      </c>
      <c r="E115" s="220" t="s">
        <v>26</v>
      </c>
      <c r="F115" s="239">
        <v>40843</v>
      </c>
      <c r="G115" s="236">
        <v>40945</v>
      </c>
      <c r="H115" s="236">
        <v>40949</v>
      </c>
      <c r="I115" s="230">
        <v>103000</v>
      </c>
      <c r="J115" s="237"/>
      <c r="K115" s="237"/>
      <c r="L115" s="238"/>
      <c r="M115" s="233"/>
      <c r="O115" s="231">
        <f t="shared" si="1"/>
        <v>0</v>
      </c>
    </row>
    <row r="116" spans="1:15">
      <c r="A116" s="234" t="s">
        <v>348</v>
      </c>
      <c r="B116" s="218" t="s">
        <v>616</v>
      </c>
      <c r="C116" s="219" t="s">
        <v>1163</v>
      </c>
      <c r="D116" s="219" t="s">
        <v>25</v>
      </c>
      <c r="E116" s="220" t="s">
        <v>26</v>
      </c>
      <c r="F116" s="239">
        <v>40843</v>
      </c>
      <c r="G116" s="236">
        <v>40945</v>
      </c>
      <c r="H116" s="236">
        <v>40949</v>
      </c>
      <c r="I116" s="230">
        <v>200000</v>
      </c>
      <c r="J116" s="237">
        <f>+I116+I115</f>
        <v>303000</v>
      </c>
      <c r="K116" s="237">
        <v>118900</v>
      </c>
      <c r="L116" s="238">
        <f>+J116-K116</f>
        <v>184100</v>
      </c>
      <c r="M116" s="233"/>
      <c r="O116" s="231">
        <f t="shared" si="1"/>
        <v>0</v>
      </c>
    </row>
    <row r="117" spans="1:15">
      <c r="A117" s="234" t="s">
        <v>726</v>
      </c>
      <c r="B117" s="218" t="s">
        <v>616</v>
      </c>
      <c r="C117" s="219" t="s">
        <v>727</v>
      </c>
      <c r="D117" s="219" t="s">
        <v>25</v>
      </c>
      <c r="E117" s="220" t="s">
        <v>26</v>
      </c>
      <c r="F117" s="239">
        <v>40674</v>
      </c>
      <c r="G117" s="236">
        <v>40723</v>
      </c>
      <c r="H117" s="236">
        <v>40742</v>
      </c>
      <c r="I117" s="230">
        <v>200000</v>
      </c>
      <c r="J117" s="230"/>
      <c r="K117" s="230"/>
      <c r="L117" s="224"/>
      <c r="M117" s="233"/>
      <c r="O117" s="231">
        <f t="shared" si="1"/>
        <v>0</v>
      </c>
    </row>
    <row r="118" spans="1:15">
      <c r="A118" s="234" t="s">
        <v>728</v>
      </c>
      <c r="B118" s="218" t="s">
        <v>621</v>
      </c>
      <c r="C118" s="219" t="s">
        <v>727</v>
      </c>
      <c r="D118" s="219" t="s">
        <v>25</v>
      </c>
      <c r="E118" s="220" t="s">
        <v>26</v>
      </c>
      <c r="F118" s="239">
        <v>40674</v>
      </c>
      <c r="G118" s="236">
        <v>40723</v>
      </c>
      <c r="H118" s="236">
        <v>40742</v>
      </c>
      <c r="I118" s="230">
        <v>61172.92</v>
      </c>
      <c r="J118" s="230">
        <f>+I118+I117</f>
        <v>261172.91999999998</v>
      </c>
      <c r="K118" s="230">
        <v>118900</v>
      </c>
      <c r="L118" s="224">
        <f>+J118-K118</f>
        <v>142272.91999999998</v>
      </c>
      <c r="M118" s="233"/>
      <c r="O118" s="231">
        <f t="shared" si="1"/>
        <v>0</v>
      </c>
    </row>
    <row r="119" spans="1:15">
      <c r="A119" s="234" t="s">
        <v>729</v>
      </c>
      <c r="B119" s="218" t="s">
        <v>621</v>
      </c>
      <c r="C119" s="219" t="s">
        <v>730</v>
      </c>
      <c r="D119" s="219" t="s">
        <v>38</v>
      </c>
      <c r="E119" s="220" t="s">
        <v>33</v>
      </c>
      <c r="F119" s="239">
        <v>40834</v>
      </c>
      <c r="G119" s="236">
        <v>40877</v>
      </c>
      <c r="H119" s="236">
        <v>40899</v>
      </c>
      <c r="I119" s="230">
        <v>92402.26</v>
      </c>
      <c r="J119" s="230"/>
      <c r="K119" s="230"/>
      <c r="L119" s="224"/>
      <c r="M119" s="233"/>
      <c r="O119" s="231">
        <f t="shared" si="1"/>
        <v>0</v>
      </c>
    </row>
    <row r="120" spans="1:15">
      <c r="A120" s="234" t="s">
        <v>731</v>
      </c>
      <c r="B120" s="218" t="s">
        <v>616</v>
      </c>
      <c r="C120" s="219" t="s">
        <v>730</v>
      </c>
      <c r="D120" s="219" t="s">
        <v>38</v>
      </c>
      <c r="E120" s="220" t="s">
        <v>33</v>
      </c>
      <c r="F120" s="239">
        <v>40834</v>
      </c>
      <c r="G120" s="236">
        <v>40877</v>
      </c>
      <c r="H120" s="236">
        <v>40899</v>
      </c>
      <c r="I120" s="230">
        <v>153832.25</v>
      </c>
      <c r="J120" s="230">
        <f>+I120+I119</f>
        <v>246234.51</v>
      </c>
      <c r="K120" s="230">
        <v>118900</v>
      </c>
      <c r="L120" s="224">
        <f>+J120-K120</f>
        <v>127334.51000000001</v>
      </c>
      <c r="M120" s="233"/>
      <c r="O120" s="231">
        <f t="shared" si="1"/>
        <v>0</v>
      </c>
    </row>
    <row r="121" spans="1:15">
      <c r="A121" s="234" t="s">
        <v>1103</v>
      </c>
      <c r="B121" s="218" t="s">
        <v>616</v>
      </c>
      <c r="C121" s="219" t="s">
        <v>1159</v>
      </c>
      <c r="D121" s="219" t="s">
        <v>1185</v>
      </c>
      <c r="E121" s="220" t="s">
        <v>33</v>
      </c>
      <c r="F121" s="239">
        <v>40782</v>
      </c>
      <c r="G121" s="236">
        <v>40910</v>
      </c>
      <c r="H121" s="236">
        <v>40928</v>
      </c>
      <c r="I121" s="230">
        <v>149477.82</v>
      </c>
      <c r="J121" s="237">
        <f>+I121</f>
        <v>149477.82</v>
      </c>
      <c r="K121" s="237">
        <v>118900</v>
      </c>
      <c r="L121" s="238">
        <f>+J121-K121:K121</f>
        <v>30577.820000000007</v>
      </c>
      <c r="M121" s="233"/>
      <c r="O121" s="231">
        <f t="shared" si="1"/>
        <v>0</v>
      </c>
    </row>
    <row r="122" spans="1:15">
      <c r="A122" s="234" t="s">
        <v>732</v>
      </c>
      <c r="B122" s="218" t="s">
        <v>621</v>
      </c>
      <c r="C122" s="219" t="s">
        <v>733</v>
      </c>
      <c r="D122" s="219" t="s">
        <v>734</v>
      </c>
      <c r="E122" s="220" t="s">
        <v>33</v>
      </c>
      <c r="F122" s="239">
        <v>40748</v>
      </c>
      <c r="G122" s="236">
        <v>40757</v>
      </c>
      <c r="H122" s="236">
        <v>40793</v>
      </c>
      <c r="I122" s="230">
        <v>30544.639999999999</v>
      </c>
      <c r="J122" s="230"/>
      <c r="K122" s="230"/>
      <c r="L122" s="224"/>
      <c r="M122" s="233"/>
      <c r="O122" s="231">
        <f t="shared" si="1"/>
        <v>0</v>
      </c>
    </row>
    <row r="123" spans="1:15">
      <c r="A123" s="234" t="s">
        <v>735</v>
      </c>
      <c r="B123" s="218" t="s">
        <v>616</v>
      </c>
      <c r="C123" s="219" t="s">
        <v>733</v>
      </c>
      <c r="D123" s="219" t="s">
        <v>734</v>
      </c>
      <c r="E123" s="220" t="s">
        <v>33</v>
      </c>
      <c r="F123" s="239">
        <v>40748</v>
      </c>
      <c r="G123" s="236">
        <v>40757</v>
      </c>
      <c r="H123" s="236">
        <v>40793</v>
      </c>
      <c r="I123" s="230">
        <v>100000</v>
      </c>
      <c r="J123" s="230">
        <f>+I123+I122</f>
        <v>130544.64</v>
      </c>
      <c r="K123" s="230">
        <v>118900</v>
      </c>
      <c r="L123" s="224">
        <f>+J123-K123</f>
        <v>11644.64</v>
      </c>
      <c r="M123" s="233"/>
      <c r="O123" s="231">
        <f t="shared" si="1"/>
        <v>0</v>
      </c>
    </row>
    <row r="124" spans="1:15">
      <c r="A124" s="234" t="s">
        <v>1126</v>
      </c>
      <c r="B124" s="218" t="s">
        <v>621</v>
      </c>
      <c r="C124" s="219" t="s">
        <v>1171</v>
      </c>
      <c r="D124" s="219" t="s">
        <v>209</v>
      </c>
      <c r="E124" s="220" t="s">
        <v>33</v>
      </c>
      <c r="F124" s="239">
        <v>40817</v>
      </c>
      <c r="G124" s="236">
        <v>40883</v>
      </c>
      <c r="H124" s="236">
        <v>40903</v>
      </c>
      <c r="I124" s="230">
        <v>20013.560000000001</v>
      </c>
      <c r="J124" s="237"/>
      <c r="K124" s="237"/>
      <c r="L124" s="238"/>
      <c r="M124" s="233"/>
      <c r="O124" s="231">
        <f t="shared" si="1"/>
        <v>0</v>
      </c>
    </row>
    <row r="125" spans="1:15">
      <c r="A125" s="234" t="s">
        <v>1127</v>
      </c>
      <c r="B125" s="218" t="s">
        <v>616</v>
      </c>
      <c r="C125" s="219" t="s">
        <v>1171</v>
      </c>
      <c r="D125" s="219" t="s">
        <v>209</v>
      </c>
      <c r="E125" s="220" t="s">
        <v>33</v>
      </c>
      <c r="F125" s="239">
        <v>40817</v>
      </c>
      <c r="G125" s="236">
        <v>40883</v>
      </c>
      <c r="H125" s="236">
        <v>40982</v>
      </c>
      <c r="I125" s="230">
        <v>240109.38</v>
      </c>
      <c r="J125" s="237"/>
      <c r="K125" s="237"/>
      <c r="L125" s="238"/>
      <c r="M125" s="233"/>
      <c r="O125" s="231">
        <f t="shared" si="1"/>
        <v>0</v>
      </c>
    </row>
    <row r="126" spans="1:15">
      <c r="A126" s="234" t="s">
        <v>1128</v>
      </c>
      <c r="B126" s="218" t="s">
        <v>30</v>
      </c>
      <c r="C126" s="219" t="s">
        <v>1171</v>
      </c>
      <c r="D126" s="219" t="s">
        <v>209</v>
      </c>
      <c r="E126" s="220" t="s">
        <v>33</v>
      </c>
      <c r="F126" s="239">
        <v>40817</v>
      </c>
      <c r="G126" s="236">
        <v>40883</v>
      </c>
      <c r="H126" s="236">
        <v>40903</v>
      </c>
      <c r="I126" s="230">
        <v>5000</v>
      </c>
      <c r="J126" s="237">
        <f>SUM(I124:I126)</f>
        <v>265122.94</v>
      </c>
      <c r="K126" s="237">
        <v>118900</v>
      </c>
      <c r="L126" s="238">
        <f>+J126-K126</f>
        <v>146222.94</v>
      </c>
      <c r="M126" s="233"/>
      <c r="O126" s="231">
        <f t="shared" si="1"/>
        <v>0</v>
      </c>
    </row>
    <row r="127" spans="1:15">
      <c r="A127" s="234" t="s">
        <v>1148</v>
      </c>
      <c r="B127" s="218" t="s">
        <v>23</v>
      </c>
      <c r="C127" s="219" t="s">
        <v>1181</v>
      </c>
      <c r="D127" s="219" t="s">
        <v>69</v>
      </c>
      <c r="E127" s="220" t="s">
        <v>33</v>
      </c>
      <c r="F127" s="239">
        <v>40892</v>
      </c>
      <c r="G127" s="236">
        <v>41176</v>
      </c>
      <c r="H127" s="236">
        <v>41186</v>
      </c>
      <c r="I127" s="230">
        <v>46219.13</v>
      </c>
      <c r="J127" s="237"/>
      <c r="K127" s="237"/>
      <c r="L127" s="238"/>
      <c r="M127" s="233"/>
      <c r="O127" s="231">
        <f t="shared" si="1"/>
        <v>0</v>
      </c>
    </row>
    <row r="128" spans="1:15">
      <c r="A128" s="234" t="s">
        <v>1149</v>
      </c>
      <c r="B128" s="218" t="s">
        <v>616</v>
      </c>
      <c r="C128" s="219" t="s">
        <v>1181</v>
      </c>
      <c r="D128" s="219" t="s">
        <v>69</v>
      </c>
      <c r="E128" s="220" t="s">
        <v>33</v>
      </c>
      <c r="F128" s="239">
        <v>40892</v>
      </c>
      <c r="G128" s="236">
        <v>41176</v>
      </c>
      <c r="H128" s="236">
        <v>41186</v>
      </c>
      <c r="I128" s="230">
        <v>100000</v>
      </c>
      <c r="J128" s="237">
        <f>+I128+I127</f>
        <v>146219.13</v>
      </c>
      <c r="K128" s="237">
        <v>118900</v>
      </c>
      <c r="L128" s="238">
        <f>+J128-K128</f>
        <v>27319.130000000005</v>
      </c>
      <c r="M128" s="233"/>
      <c r="O128" s="231">
        <f t="shared" si="1"/>
        <v>0</v>
      </c>
    </row>
    <row r="129" spans="1:15">
      <c r="A129" s="234" t="s">
        <v>736</v>
      </c>
      <c r="B129" s="218" t="s">
        <v>737</v>
      </c>
      <c r="C129" s="219" t="s">
        <v>738</v>
      </c>
      <c r="D129" s="219" t="s">
        <v>739</v>
      </c>
      <c r="E129" s="220" t="s">
        <v>33</v>
      </c>
      <c r="F129" s="239">
        <v>40686</v>
      </c>
      <c r="G129" s="236">
        <v>40731</v>
      </c>
      <c r="H129" s="236">
        <v>40774</v>
      </c>
      <c r="I129" s="230">
        <v>155000</v>
      </c>
      <c r="J129" s="230">
        <f>+I129</f>
        <v>155000</v>
      </c>
      <c r="K129" s="230">
        <v>118900</v>
      </c>
      <c r="L129" s="224">
        <f>+J129-K129</f>
        <v>36100</v>
      </c>
      <c r="M129" s="233"/>
      <c r="O129" s="231">
        <f t="shared" si="1"/>
        <v>0</v>
      </c>
    </row>
    <row r="130" spans="1:15">
      <c r="A130" s="234" t="s">
        <v>1096</v>
      </c>
      <c r="B130" s="218" t="s">
        <v>616</v>
      </c>
      <c r="C130" s="219" t="s">
        <v>1155</v>
      </c>
      <c r="D130" s="219" t="s">
        <v>38</v>
      </c>
      <c r="E130" s="220" t="s">
        <v>33</v>
      </c>
      <c r="F130" s="239">
        <v>40882</v>
      </c>
      <c r="G130" s="236">
        <v>40900</v>
      </c>
      <c r="H130" s="236">
        <v>40934</v>
      </c>
      <c r="I130" s="230">
        <v>199604.26</v>
      </c>
      <c r="J130" s="237"/>
      <c r="K130" s="237"/>
      <c r="L130" s="238"/>
      <c r="M130" s="233"/>
      <c r="O130" s="231">
        <f t="shared" si="1"/>
        <v>0</v>
      </c>
    </row>
    <row r="131" spans="1:15">
      <c r="A131" s="234" t="s">
        <v>1097</v>
      </c>
      <c r="B131" s="218" t="s">
        <v>621</v>
      </c>
      <c r="C131" s="219" t="s">
        <v>1155</v>
      </c>
      <c r="D131" s="219" t="s">
        <v>38</v>
      </c>
      <c r="E131" s="220" t="s">
        <v>33</v>
      </c>
      <c r="F131" s="239">
        <v>40882</v>
      </c>
      <c r="G131" s="236">
        <v>40900</v>
      </c>
      <c r="H131" s="236">
        <v>40934</v>
      </c>
      <c r="I131" s="230">
        <v>240</v>
      </c>
      <c r="J131" s="237">
        <f>+I131+I130</f>
        <v>199844.26</v>
      </c>
      <c r="K131" s="237">
        <v>118900</v>
      </c>
      <c r="L131" s="238">
        <f>+J131-K131</f>
        <v>80944.260000000009</v>
      </c>
      <c r="M131" s="233"/>
      <c r="O131" s="231">
        <f t="shared" si="1"/>
        <v>0</v>
      </c>
    </row>
    <row r="132" spans="1:15">
      <c r="A132" s="234" t="s">
        <v>740</v>
      </c>
      <c r="B132" s="218" t="s">
        <v>616</v>
      </c>
      <c r="C132" s="219" t="s">
        <v>741</v>
      </c>
      <c r="D132" s="219" t="s">
        <v>38</v>
      </c>
      <c r="E132" s="220" t="s">
        <v>33</v>
      </c>
      <c r="F132" s="239">
        <v>40833</v>
      </c>
      <c r="G132" s="236">
        <v>40862</v>
      </c>
      <c r="H132" s="236">
        <v>40870</v>
      </c>
      <c r="I132" s="230">
        <v>204600.91</v>
      </c>
      <c r="J132" s="230">
        <f>+I132</f>
        <v>204600.91</v>
      </c>
      <c r="K132" s="230">
        <v>118900</v>
      </c>
      <c r="L132" s="224">
        <f>+J132-K132</f>
        <v>85700.91</v>
      </c>
      <c r="M132" s="233"/>
      <c r="O132" s="231">
        <f t="shared" si="1"/>
        <v>0</v>
      </c>
    </row>
    <row r="133" spans="1:15">
      <c r="A133" s="234" t="s">
        <v>742</v>
      </c>
      <c r="B133" s="218" t="s">
        <v>616</v>
      </c>
      <c r="C133" s="219" t="s">
        <v>743</v>
      </c>
      <c r="D133" s="219" t="s">
        <v>744</v>
      </c>
      <c r="E133" s="220" t="s">
        <v>33</v>
      </c>
      <c r="F133" s="239">
        <v>40612</v>
      </c>
      <c r="G133" s="236">
        <v>40624</v>
      </c>
      <c r="H133" s="236">
        <v>40651</v>
      </c>
      <c r="I133" s="230">
        <v>140796.6</v>
      </c>
      <c r="J133" s="230"/>
      <c r="K133" s="230"/>
      <c r="L133" s="224"/>
      <c r="M133" s="233"/>
      <c r="O133" s="231">
        <f t="shared" si="1"/>
        <v>0</v>
      </c>
    </row>
    <row r="134" spans="1:15">
      <c r="A134" s="234" t="s">
        <v>745</v>
      </c>
      <c r="B134" s="218" t="s">
        <v>621</v>
      </c>
      <c r="C134" s="219" t="s">
        <v>743</v>
      </c>
      <c r="D134" s="219" t="s">
        <v>744</v>
      </c>
      <c r="E134" s="220" t="s">
        <v>33</v>
      </c>
      <c r="F134" s="239">
        <v>40612</v>
      </c>
      <c r="G134" s="236">
        <v>40624</v>
      </c>
      <c r="H134" s="236">
        <v>40651</v>
      </c>
      <c r="I134" s="230">
        <v>53000</v>
      </c>
      <c r="J134" s="230"/>
      <c r="K134" s="230"/>
      <c r="L134" s="224"/>
      <c r="M134" s="233"/>
      <c r="O134" s="231">
        <f t="shared" si="1"/>
        <v>0</v>
      </c>
    </row>
    <row r="135" spans="1:15">
      <c r="A135" s="234" t="s">
        <v>746</v>
      </c>
      <c r="B135" s="218" t="s">
        <v>737</v>
      </c>
      <c r="C135" s="219" t="s">
        <v>743</v>
      </c>
      <c r="D135" s="219" t="s">
        <v>744</v>
      </c>
      <c r="E135" s="220" t="s">
        <v>33</v>
      </c>
      <c r="F135" s="239">
        <v>40612</v>
      </c>
      <c r="G135" s="236">
        <v>40624</v>
      </c>
      <c r="H135" s="236">
        <v>40651</v>
      </c>
      <c r="I135" s="230">
        <v>40000</v>
      </c>
      <c r="J135" s="230">
        <f>+I135+I134+I133</f>
        <v>233796.6</v>
      </c>
      <c r="K135" s="230">
        <v>118900</v>
      </c>
      <c r="L135" s="224">
        <f>+J135-K135</f>
        <v>114896.6</v>
      </c>
      <c r="M135" s="233"/>
      <c r="O135" s="231">
        <f t="shared" si="1"/>
        <v>0</v>
      </c>
    </row>
    <row r="136" spans="1:15">
      <c r="A136" s="234" t="s">
        <v>747</v>
      </c>
      <c r="B136" s="218" t="s">
        <v>748</v>
      </c>
      <c r="C136" s="219" t="s">
        <v>749</v>
      </c>
      <c r="D136" s="219" t="s">
        <v>750</v>
      </c>
      <c r="E136" s="220" t="s">
        <v>33</v>
      </c>
      <c r="F136" s="239">
        <v>40724</v>
      </c>
      <c r="G136" s="236">
        <v>40814</v>
      </c>
      <c r="H136" s="236">
        <v>40837</v>
      </c>
      <c r="I136" s="230">
        <v>105000</v>
      </c>
      <c r="J136" s="230"/>
      <c r="K136" s="230"/>
      <c r="L136" s="224"/>
      <c r="M136" s="233"/>
      <c r="O136" s="231">
        <f t="shared" si="1"/>
        <v>0</v>
      </c>
    </row>
    <row r="137" spans="1:15">
      <c r="A137" s="234" t="s">
        <v>751</v>
      </c>
      <c r="B137" s="218" t="s">
        <v>621</v>
      </c>
      <c r="C137" s="219" t="s">
        <v>749</v>
      </c>
      <c r="D137" s="219" t="s">
        <v>750</v>
      </c>
      <c r="E137" s="220" t="s">
        <v>33</v>
      </c>
      <c r="F137" s="239">
        <v>40724</v>
      </c>
      <c r="G137" s="236">
        <v>40764</v>
      </c>
      <c r="H137" s="236">
        <v>40777</v>
      </c>
      <c r="I137" s="230">
        <v>21745.17</v>
      </c>
      <c r="J137" s="230">
        <f>+I137+I136</f>
        <v>126745.17</v>
      </c>
      <c r="K137" s="230">
        <v>118900</v>
      </c>
      <c r="L137" s="224">
        <f>+J137-K137</f>
        <v>7845.1699999999983</v>
      </c>
      <c r="M137" s="233"/>
      <c r="O137" s="231">
        <f t="shared" si="1"/>
        <v>0</v>
      </c>
    </row>
    <row r="138" spans="1:15">
      <c r="A138" s="234" t="s">
        <v>752</v>
      </c>
      <c r="B138" s="218" t="s">
        <v>621</v>
      </c>
      <c r="C138" s="219" t="s">
        <v>753</v>
      </c>
      <c r="D138" s="219" t="s">
        <v>43</v>
      </c>
      <c r="E138" s="220" t="s">
        <v>33</v>
      </c>
      <c r="F138" s="239">
        <v>40563</v>
      </c>
      <c r="G138" s="236">
        <v>40665</v>
      </c>
      <c r="H138" s="236">
        <v>40667</v>
      </c>
      <c r="I138" s="230">
        <v>160661.1</v>
      </c>
      <c r="J138" s="230"/>
      <c r="K138" s="230"/>
      <c r="L138" s="224"/>
      <c r="M138" s="233"/>
      <c r="O138" s="231">
        <f t="shared" si="1"/>
        <v>0</v>
      </c>
    </row>
    <row r="139" spans="1:15">
      <c r="A139" s="234" t="s">
        <v>754</v>
      </c>
      <c r="B139" s="218" t="s">
        <v>616</v>
      </c>
      <c r="C139" s="219" t="s">
        <v>753</v>
      </c>
      <c r="D139" s="219" t="s">
        <v>43</v>
      </c>
      <c r="E139" s="220" t="s">
        <v>33</v>
      </c>
      <c r="F139" s="239">
        <v>40563</v>
      </c>
      <c r="G139" s="236">
        <v>40665</v>
      </c>
      <c r="H139" s="236">
        <v>40667</v>
      </c>
      <c r="I139" s="230">
        <v>9101.0400000000009</v>
      </c>
      <c r="J139" s="230">
        <f>+I139+I138</f>
        <v>169762.14</v>
      </c>
      <c r="K139" s="230">
        <v>118900</v>
      </c>
      <c r="L139" s="224">
        <f>+J139-K139</f>
        <v>50862.140000000014</v>
      </c>
      <c r="M139" s="233"/>
      <c r="O139" s="231">
        <f t="shared" si="1"/>
        <v>0</v>
      </c>
    </row>
    <row r="140" spans="1:15">
      <c r="A140" s="234" t="s">
        <v>1111</v>
      </c>
      <c r="B140" s="218" t="s">
        <v>616</v>
      </c>
      <c r="C140" s="219" t="s">
        <v>1164</v>
      </c>
      <c r="D140" s="219" t="s">
        <v>38</v>
      </c>
      <c r="E140" s="220" t="s">
        <v>33</v>
      </c>
      <c r="F140" s="239">
        <v>40844</v>
      </c>
      <c r="G140" s="236">
        <v>40926</v>
      </c>
      <c r="H140" s="236">
        <v>40949</v>
      </c>
      <c r="I140" s="230">
        <v>579226.04</v>
      </c>
      <c r="J140" s="237">
        <f>+I140</f>
        <v>579226.04</v>
      </c>
      <c r="K140" s="237">
        <v>118900</v>
      </c>
      <c r="L140" s="238">
        <f>+J140-K140:K140</f>
        <v>460326.04000000004</v>
      </c>
      <c r="M140" s="233"/>
      <c r="O140" s="231">
        <f t="shared" ref="O140:O203" si="2">IF($J140&gt;P$8,$J140-P$8,0)</f>
        <v>0</v>
      </c>
    </row>
    <row r="141" spans="1:15">
      <c r="A141" s="234" t="s">
        <v>755</v>
      </c>
      <c r="B141" s="218" t="s">
        <v>621</v>
      </c>
      <c r="C141" s="219" t="s">
        <v>756</v>
      </c>
      <c r="D141" s="219" t="s">
        <v>750</v>
      </c>
      <c r="E141" s="220" t="s">
        <v>33</v>
      </c>
      <c r="F141" s="239">
        <v>40751</v>
      </c>
      <c r="G141" s="236">
        <v>40772</v>
      </c>
      <c r="H141" s="236">
        <v>40822</v>
      </c>
      <c r="I141" s="230">
        <v>37066.590000000004</v>
      </c>
      <c r="J141" s="230"/>
      <c r="K141" s="230"/>
      <c r="L141" s="224"/>
      <c r="M141" s="233"/>
      <c r="O141" s="231">
        <f t="shared" si="2"/>
        <v>0</v>
      </c>
    </row>
    <row r="142" spans="1:15">
      <c r="A142" s="234" t="s">
        <v>757</v>
      </c>
      <c r="B142" s="218" t="s">
        <v>616</v>
      </c>
      <c r="C142" s="219" t="s">
        <v>756</v>
      </c>
      <c r="D142" s="219" t="s">
        <v>750</v>
      </c>
      <c r="E142" s="220" t="s">
        <v>33</v>
      </c>
      <c r="F142" s="239">
        <v>40751</v>
      </c>
      <c r="G142" s="236">
        <v>40772</v>
      </c>
      <c r="H142" s="236">
        <v>40822</v>
      </c>
      <c r="I142" s="230">
        <v>100000</v>
      </c>
      <c r="J142" s="230"/>
      <c r="K142" s="230"/>
      <c r="L142" s="224"/>
      <c r="M142" s="233"/>
      <c r="O142" s="231">
        <f t="shared" si="2"/>
        <v>0</v>
      </c>
    </row>
    <row r="143" spans="1:15">
      <c r="A143" s="234" t="s">
        <v>758</v>
      </c>
      <c r="B143" s="218" t="s">
        <v>668</v>
      </c>
      <c r="C143" s="219" t="s">
        <v>756</v>
      </c>
      <c r="D143" s="219" t="s">
        <v>750</v>
      </c>
      <c r="E143" s="220" t="s">
        <v>33</v>
      </c>
      <c r="F143" s="239">
        <v>40751</v>
      </c>
      <c r="G143" s="236">
        <v>40772</v>
      </c>
      <c r="H143" s="236">
        <v>40822</v>
      </c>
      <c r="I143" s="230">
        <v>48917.66</v>
      </c>
      <c r="J143" s="230">
        <f>+I143+I142+I141</f>
        <v>185984.25</v>
      </c>
      <c r="K143" s="230">
        <v>118900</v>
      </c>
      <c r="L143" s="224">
        <f>+J143-K143</f>
        <v>67084.25</v>
      </c>
      <c r="M143" s="233"/>
      <c r="O143" s="231">
        <f t="shared" si="2"/>
        <v>0</v>
      </c>
    </row>
    <row r="144" spans="1:15">
      <c r="A144" s="234" t="s">
        <v>759</v>
      </c>
      <c r="B144" s="218" t="s">
        <v>621</v>
      </c>
      <c r="C144" s="219" t="s">
        <v>760</v>
      </c>
      <c r="D144" s="219" t="s">
        <v>38</v>
      </c>
      <c r="E144" s="220" t="s">
        <v>33</v>
      </c>
      <c r="F144" s="239">
        <v>40701</v>
      </c>
      <c r="G144" s="236">
        <v>40745</v>
      </c>
      <c r="H144" s="236">
        <v>40780</v>
      </c>
      <c r="I144" s="230">
        <v>62408.63</v>
      </c>
      <c r="J144" s="230"/>
      <c r="K144" s="230"/>
      <c r="L144" s="224"/>
      <c r="M144" s="233"/>
      <c r="O144" s="231">
        <f t="shared" si="2"/>
        <v>0</v>
      </c>
    </row>
    <row r="145" spans="1:15">
      <c r="A145" s="234" t="s">
        <v>761</v>
      </c>
      <c r="B145" s="218" t="s">
        <v>616</v>
      </c>
      <c r="C145" s="219" t="s">
        <v>760</v>
      </c>
      <c r="D145" s="219" t="s">
        <v>38</v>
      </c>
      <c r="E145" s="220" t="s">
        <v>33</v>
      </c>
      <c r="F145" s="239">
        <v>40701</v>
      </c>
      <c r="G145" s="236">
        <v>40745</v>
      </c>
      <c r="H145" s="236">
        <v>40780</v>
      </c>
      <c r="I145" s="230">
        <v>171500</v>
      </c>
      <c r="J145" s="230">
        <f>+I145+I144</f>
        <v>233908.63</v>
      </c>
      <c r="K145" s="230">
        <v>118900</v>
      </c>
      <c r="L145" s="224">
        <f>+J145-K145</f>
        <v>115008.63</v>
      </c>
      <c r="M145" s="233"/>
      <c r="O145" s="231">
        <f t="shared" si="2"/>
        <v>0</v>
      </c>
    </row>
    <row r="146" spans="1:15">
      <c r="A146" s="234" t="s">
        <v>762</v>
      </c>
      <c r="B146" s="218" t="s">
        <v>616</v>
      </c>
      <c r="C146" s="219" t="s">
        <v>763</v>
      </c>
      <c r="D146" s="219" t="s">
        <v>764</v>
      </c>
      <c r="E146" s="220" t="s">
        <v>33</v>
      </c>
      <c r="F146" s="239">
        <v>40688</v>
      </c>
      <c r="G146" s="236">
        <v>40716</v>
      </c>
      <c r="H146" s="236">
        <v>40736</v>
      </c>
      <c r="I146" s="230">
        <v>111589.52</v>
      </c>
      <c r="J146" s="230"/>
      <c r="K146" s="230"/>
      <c r="L146" s="224"/>
      <c r="M146" s="233"/>
      <c r="O146" s="231">
        <f t="shared" si="2"/>
        <v>0</v>
      </c>
    </row>
    <row r="147" spans="1:15">
      <c r="A147" s="234" t="s">
        <v>765</v>
      </c>
      <c r="B147" s="218" t="s">
        <v>621</v>
      </c>
      <c r="C147" s="219" t="s">
        <v>763</v>
      </c>
      <c r="D147" s="219" t="s">
        <v>764</v>
      </c>
      <c r="E147" s="220" t="s">
        <v>33</v>
      </c>
      <c r="F147" s="239">
        <v>40688</v>
      </c>
      <c r="G147" s="236">
        <v>40716</v>
      </c>
      <c r="H147" s="236">
        <v>40736</v>
      </c>
      <c r="I147" s="230">
        <v>45225.85</v>
      </c>
      <c r="J147" s="230"/>
      <c r="K147" s="230"/>
      <c r="L147" s="224"/>
      <c r="M147" s="233"/>
      <c r="O147" s="231">
        <f t="shared" si="2"/>
        <v>0</v>
      </c>
    </row>
    <row r="148" spans="1:15">
      <c r="A148" s="234" t="s">
        <v>766</v>
      </c>
      <c r="B148" s="218" t="s">
        <v>621</v>
      </c>
      <c r="C148" s="219" t="s">
        <v>763</v>
      </c>
      <c r="D148" s="219" t="s">
        <v>764</v>
      </c>
      <c r="E148" s="220" t="s">
        <v>33</v>
      </c>
      <c r="F148" s="239">
        <v>40688</v>
      </c>
      <c r="G148" s="236">
        <v>40877</v>
      </c>
      <c r="H148" s="236">
        <v>40891</v>
      </c>
      <c r="I148" s="230">
        <v>67707</v>
      </c>
      <c r="J148" s="230"/>
      <c r="K148" s="230"/>
      <c r="L148" s="224"/>
      <c r="M148" s="233"/>
      <c r="O148" s="231">
        <f t="shared" si="2"/>
        <v>0</v>
      </c>
    </row>
    <row r="149" spans="1:15">
      <c r="A149" s="234" t="s">
        <v>767</v>
      </c>
      <c r="B149" s="218" t="s">
        <v>616</v>
      </c>
      <c r="C149" s="219" t="s">
        <v>763</v>
      </c>
      <c r="D149" s="219" t="s">
        <v>764</v>
      </c>
      <c r="E149" s="220" t="s">
        <v>33</v>
      </c>
      <c r="F149" s="239">
        <v>40688</v>
      </c>
      <c r="G149" s="236">
        <v>40877</v>
      </c>
      <c r="H149" s="236">
        <v>40891</v>
      </c>
      <c r="I149" s="230">
        <v>109105.32</v>
      </c>
      <c r="J149" s="230">
        <f>+I149+I148+I147+I146</f>
        <v>333627.69</v>
      </c>
      <c r="K149" s="230">
        <v>118900</v>
      </c>
      <c r="L149" s="224">
        <f>+J149-K149</f>
        <v>214727.69</v>
      </c>
      <c r="M149" s="233"/>
      <c r="O149" s="231">
        <f t="shared" si="2"/>
        <v>0</v>
      </c>
    </row>
    <row r="150" spans="1:15">
      <c r="A150" s="234" t="s">
        <v>768</v>
      </c>
      <c r="B150" s="218" t="s">
        <v>621</v>
      </c>
      <c r="C150" s="219" t="s">
        <v>769</v>
      </c>
      <c r="D150" s="219" t="s">
        <v>209</v>
      </c>
      <c r="E150" s="220" t="s">
        <v>33</v>
      </c>
      <c r="F150" s="239">
        <v>40600</v>
      </c>
      <c r="G150" s="236">
        <v>40680</v>
      </c>
      <c r="H150" s="236">
        <v>40716</v>
      </c>
      <c r="I150" s="230">
        <v>115000</v>
      </c>
      <c r="J150" s="230"/>
      <c r="K150" s="230"/>
      <c r="L150" s="224"/>
      <c r="M150" s="233"/>
      <c r="O150" s="231">
        <f t="shared" si="2"/>
        <v>0</v>
      </c>
    </row>
    <row r="151" spans="1:15">
      <c r="A151" s="234" t="s">
        <v>770</v>
      </c>
      <c r="B151" s="218" t="s">
        <v>616</v>
      </c>
      <c r="C151" s="219" t="s">
        <v>769</v>
      </c>
      <c r="D151" s="219" t="s">
        <v>209</v>
      </c>
      <c r="E151" s="220" t="s">
        <v>33</v>
      </c>
      <c r="F151" s="239">
        <v>40600</v>
      </c>
      <c r="G151" s="236">
        <v>40680</v>
      </c>
      <c r="H151" s="236">
        <v>40716</v>
      </c>
      <c r="I151" s="230">
        <v>400000</v>
      </c>
      <c r="J151" s="230"/>
      <c r="K151" s="230"/>
      <c r="L151" s="224"/>
      <c r="M151" s="233"/>
      <c r="O151" s="231">
        <f t="shared" si="2"/>
        <v>0</v>
      </c>
    </row>
    <row r="152" spans="1:15">
      <c r="A152" s="234" t="s">
        <v>770</v>
      </c>
      <c r="B152" s="218" t="s">
        <v>616</v>
      </c>
      <c r="C152" s="219" t="s">
        <v>769</v>
      </c>
      <c r="D152" s="219" t="s">
        <v>84</v>
      </c>
      <c r="E152" s="220" t="s">
        <v>33</v>
      </c>
      <c r="F152" s="239">
        <v>40600</v>
      </c>
      <c r="G152" s="236">
        <v>40680</v>
      </c>
      <c r="H152" s="236">
        <v>40737</v>
      </c>
      <c r="I152" s="230">
        <v>10000</v>
      </c>
      <c r="J152" s="230">
        <f>+I152+I151+I150</f>
        <v>525000</v>
      </c>
      <c r="K152" s="230">
        <v>118900</v>
      </c>
      <c r="L152" s="224">
        <f>+J152-K152</f>
        <v>406100</v>
      </c>
      <c r="M152" s="233"/>
      <c r="O152" s="231">
        <f t="shared" si="2"/>
        <v>0</v>
      </c>
    </row>
    <row r="153" spans="1:15">
      <c r="A153" s="234" t="s">
        <v>1122</v>
      </c>
      <c r="B153" s="218" t="s">
        <v>621</v>
      </c>
      <c r="C153" s="219" t="s">
        <v>1168</v>
      </c>
      <c r="D153" s="219" t="s">
        <v>1186</v>
      </c>
      <c r="E153" s="220" t="s">
        <v>33</v>
      </c>
      <c r="F153" s="239">
        <v>40893</v>
      </c>
      <c r="G153" s="236">
        <v>40969</v>
      </c>
      <c r="H153" s="236">
        <v>40981</v>
      </c>
      <c r="I153" s="230">
        <v>176452.62</v>
      </c>
      <c r="J153" s="237"/>
      <c r="K153" s="237"/>
      <c r="L153" s="238"/>
      <c r="M153" s="233"/>
      <c r="O153" s="231">
        <f t="shared" si="2"/>
        <v>0</v>
      </c>
    </row>
    <row r="154" spans="1:15">
      <c r="A154" s="234" t="s">
        <v>466</v>
      </c>
      <c r="B154" s="218" t="s">
        <v>616</v>
      </c>
      <c r="C154" s="219" t="s">
        <v>1168</v>
      </c>
      <c r="D154" s="219" t="s">
        <v>1186</v>
      </c>
      <c r="E154" s="220" t="s">
        <v>33</v>
      </c>
      <c r="F154" s="239">
        <v>40893</v>
      </c>
      <c r="G154" s="236">
        <v>40969</v>
      </c>
      <c r="H154" s="236">
        <v>40981</v>
      </c>
      <c r="I154" s="230">
        <v>67174.97</v>
      </c>
      <c r="J154" s="237">
        <f>+I154+I153</f>
        <v>243627.59</v>
      </c>
      <c r="K154" s="237">
        <v>118900</v>
      </c>
      <c r="L154" s="238">
        <f>+J154-K154</f>
        <v>124727.59</v>
      </c>
      <c r="M154" s="233"/>
      <c r="O154" s="231">
        <f t="shared" si="2"/>
        <v>0</v>
      </c>
    </row>
    <row r="155" spans="1:15">
      <c r="A155" s="234" t="s">
        <v>1192</v>
      </c>
      <c r="B155" s="218" t="s">
        <v>30</v>
      </c>
      <c r="C155" s="219" t="s">
        <v>1194</v>
      </c>
      <c r="D155" s="219" t="s">
        <v>38</v>
      </c>
      <c r="E155" s="220" t="s">
        <v>33</v>
      </c>
      <c r="F155" s="239">
        <v>40883</v>
      </c>
      <c r="G155" s="236">
        <v>41387</v>
      </c>
      <c r="H155" s="236">
        <v>41390</v>
      </c>
      <c r="I155" s="230">
        <v>20865.12</v>
      </c>
      <c r="J155" s="230"/>
      <c r="K155" s="230">
        <v>0</v>
      </c>
      <c r="L155" s="224"/>
      <c r="M155" s="233"/>
      <c r="O155" s="231">
        <f t="shared" si="2"/>
        <v>0</v>
      </c>
    </row>
    <row r="156" spans="1:15">
      <c r="A156" s="234" t="s">
        <v>1193</v>
      </c>
      <c r="B156" s="218" t="s">
        <v>28</v>
      </c>
      <c r="C156" s="219" t="s">
        <v>1194</v>
      </c>
      <c r="D156" s="219" t="s">
        <v>38</v>
      </c>
      <c r="E156" s="220" t="s">
        <v>33</v>
      </c>
      <c r="F156" s="239">
        <v>40883</v>
      </c>
      <c r="G156" s="236">
        <v>41387</v>
      </c>
      <c r="H156" s="236">
        <v>41390</v>
      </c>
      <c r="I156" s="230">
        <v>188100</v>
      </c>
      <c r="J156" s="230">
        <f>+I156+I155</f>
        <v>208965.12</v>
      </c>
      <c r="K156" s="230">
        <v>118900</v>
      </c>
      <c r="L156" s="224">
        <f>+J156-K156</f>
        <v>90065.12</v>
      </c>
      <c r="M156" s="233"/>
      <c r="O156" s="231">
        <f t="shared" si="2"/>
        <v>0</v>
      </c>
    </row>
    <row r="157" spans="1:15">
      <c r="A157" s="234" t="s">
        <v>771</v>
      </c>
      <c r="B157" s="218" t="s">
        <v>616</v>
      </c>
      <c r="C157" s="219" t="s">
        <v>772</v>
      </c>
      <c r="D157" s="219" t="s">
        <v>773</v>
      </c>
      <c r="E157" s="220" t="s">
        <v>33</v>
      </c>
      <c r="F157" s="239">
        <v>40734</v>
      </c>
      <c r="G157" s="236">
        <v>40767</v>
      </c>
      <c r="H157" s="236">
        <v>40777</v>
      </c>
      <c r="I157" s="230">
        <v>378039.01</v>
      </c>
      <c r="J157" s="230">
        <f>+I157</f>
        <v>378039.01</v>
      </c>
      <c r="K157" s="230">
        <v>118900</v>
      </c>
      <c r="L157" s="224">
        <f>+J157-K157</f>
        <v>259139.01</v>
      </c>
      <c r="M157" s="233"/>
      <c r="O157" s="231">
        <f t="shared" si="2"/>
        <v>0</v>
      </c>
    </row>
    <row r="158" spans="1:15">
      <c r="A158" s="234" t="s">
        <v>774</v>
      </c>
      <c r="B158" s="218" t="s">
        <v>616</v>
      </c>
      <c r="C158" s="219" t="s">
        <v>775</v>
      </c>
      <c r="D158" s="219" t="s">
        <v>38</v>
      </c>
      <c r="E158" s="220" t="s">
        <v>33</v>
      </c>
      <c r="F158" s="239">
        <v>40597</v>
      </c>
      <c r="G158" s="236">
        <v>40688</v>
      </c>
      <c r="H158" s="236">
        <v>40709</v>
      </c>
      <c r="I158" s="230">
        <v>844822.59</v>
      </c>
      <c r="J158" s="230">
        <f>+I158</f>
        <v>844822.59</v>
      </c>
      <c r="K158" s="230">
        <v>118900</v>
      </c>
      <c r="L158" s="224">
        <f>+J158-K158</f>
        <v>725922.59</v>
      </c>
      <c r="M158" s="233"/>
      <c r="O158" s="231">
        <f t="shared" si="2"/>
        <v>123118.58999999997</v>
      </c>
    </row>
    <row r="159" spans="1:15">
      <c r="A159" s="234" t="s">
        <v>776</v>
      </c>
      <c r="B159" s="218" t="s">
        <v>616</v>
      </c>
      <c r="C159" s="219" t="s">
        <v>777</v>
      </c>
      <c r="D159" s="219" t="s">
        <v>778</v>
      </c>
      <c r="E159" s="220" t="s">
        <v>33</v>
      </c>
      <c r="F159" s="239">
        <v>40765</v>
      </c>
      <c r="G159" s="236">
        <v>40787</v>
      </c>
      <c r="H159" s="236">
        <v>40805</v>
      </c>
      <c r="I159" s="230">
        <v>200000</v>
      </c>
      <c r="J159" s="230"/>
      <c r="K159" s="230"/>
      <c r="L159" s="224"/>
      <c r="M159" s="233"/>
      <c r="O159" s="231">
        <f t="shared" si="2"/>
        <v>0</v>
      </c>
    </row>
    <row r="160" spans="1:15">
      <c r="A160" s="234" t="s">
        <v>779</v>
      </c>
      <c r="B160" s="218" t="s">
        <v>621</v>
      </c>
      <c r="C160" s="219" t="s">
        <v>777</v>
      </c>
      <c r="D160" s="219" t="s">
        <v>778</v>
      </c>
      <c r="E160" s="220" t="s">
        <v>33</v>
      </c>
      <c r="F160" s="239">
        <v>40765</v>
      </c>
      <c r="G160" s="236">
        <v>40787</v>
      </c>
      <c r="H160" s="236">
        <v>40805</v>
      </c>
      <c r="I160" s="230">
        <v>53000</v>
      </c>
      <c r="J160" s="230">
        <f>+I160+I159</f>
        <v>253000</v>
      </c>
      <c r="K160" s="230">
        <v>118900</v>
      </c>
      <c r="L160" s="224">
        <f>+J160-K160</f>
        <v>134100</v>
      </c>
      <c r="M160" s="233"/>
      <c r="O160" s="231">
        <f t="shared" si="2"/>
        <v>0</v>
      </c>
    </row>
    <row r="161" spans="1:15">
      <c r="A161" s="234" t="s">
        <v>780</v>
      </c>
      <c r="B161" s="218" t="s">
        <v>616</v>
      </c>
      <c r="C161" s="219" t="s">
        <v>781</v>
      </c>
      <c r="D161" s="219" t="s">
        <v>750</v>
      </c>
      <c r="E161" s="220" t="s">
        <v>33</v>
      </c>
      <c r="F161" s="239">
        <v>40765</v>
      </c>
      <c r="G161" s="236">
        <v>40792</v>
      </c>
      <c r="H161" s="236">
        <v>40837</v>
      </c>
      <c r="I161" s="230">
        <v>123655.66</v>
      </c>
      <c r="J161" s="230"/>
      <c r="K161" s="230"/>
      <c r="L161" s="224"/>
      <c r="M161" s="233"/>
      <c r="O161" s="231">
        <f t="shared" si="2"/>
        <v>0</v>
      </c>
    </row>
    <row r="162" spans="1:15">
      <c r="A162" s="234" t="s">
        <v>782</v>
      </c>
      <c r="B162" s="218" t="s">
        <v>621</v>
      </c>
      <c r="C162" s="219" t="s">
        <v>781</v>
      </c>
      <c r="D162" s="219" t="s">
        <v>750</v>
      </c>
      <c r="E162" s="220" t="s">
        <v>33</v>
      </c>
      <c r="F162" s="239">
        <v>40765</v>
      </c>
      <c r="G162" s="236">
        <v>40792</v>
      </c>
      <c r="H162" s="236">
        <v>40837</v>
      </c>
      <c r="I162" s="230">
        <v>69592.41</v>
      </c>
      <c r="J162" s="230">
        <f>+I162+I161</f>
        <v>193248.07</v>
      </c>
      <c r="K162" s="230">
        <v>118900</v>
      </c>
      <c r="L162" s="224">
        <f>+J162-K162</f>
        <v>74348.070000000007</v>
      </c>
      <c r="M162" s="233"/>
      <c r="O162" s="231">
        <f t="shared" si="2"/>
        <v>0</v>
      </c>
    </row>
    <row r="163" spans="1:15">
      <c r="A163" s="234" t="s">
        <v>1098</v>
      </c>
      <c r="B163" s="218" t="s">
        <v>616</v>
      </c>
      <c r="C163" s="219" t="s">
        <v>1156</v>
      </c>
      <c r="D163" s="219" t="s">
        <v>1183</v>
      </c>
      <c r="E163" s="220" t="s">
        <v>33</v>
      </c>
      <c r="F163" s="239">
        <v>40893</v>
      </c>
      <c r="G163" s="236">
        <v>40920</v>
      </c>
      <c r="H163" s="236">
        <v>40934</v>
      </c>
      <c r="I163" s="230">
        <v>79743.929999999993</v>
      </c>
      <c r="J163" s="237"/>
      <c r="K163" s="237"/>
      <c r="L163" s="238"/>
      <c r="M163" s="233"/>
      <c r="O163" s="231">
        <f t="shared" si="2"/>
        <v>0</v>
      </c>
    </row>
    <row r="164" spans="1:15">
      <c r="A164" s="234" t="s">
        <v>1099</v>
      </c>
      <c r="B164" s="218" t="s">
        <v>621</v>
      </c>
      <c r="C164" s="219" t="s">
        <v>1156</v>
      </c>
      <c r="D164" s="219" t="s">
        <v>1183</v>
      </c>
      <c r="E164" s="220" t="s">
        <v>33</v>
      </c>
      <c r="F164" s="239">
        <v>40893</v>
      </c>
      <c r="G164" s="236">
        <v>40920</v>
      </c>
      <c r="H164" s="236">
        <v>40934</v>
      </c>
      <c r="I164" s="230">
        <v>44129.760000000002</v>
      </c>
      <c r="J164" s="237"/>
      <c r="K164" s="237"/>
      <c r="L164" s="238"/>
      <c r="M164" s="233"/>
      <c r="O164" s="231">
        <f t="shared" si="2"/>
        <v>0</v>
      </c>
    </row>
    <row r="165" spans="1:15">
      <c r="A165" s="234" t="s">
        <v>1124</v>
      </c>
      <c r="B165" s="218" t="s">
        <v>616</v>
      </c>
      <c r="C165" s="219" t="s">
        <v>1156</v>
      </c>
      <c r="D165" s="219" t="s">
        <v>1188</v>
      </c>
      <c r="E165" s="220" t="s">
        <v>33</v>
      </c>
      <c r="F165" s="239">
        <v>40893</v>
      </c>
      <c r="G165" s="236">
        <v>40918</v>
      </c>
      <c r="H165" s="236">
        <v>40977</v>
      </c>
      <c r="I165" s="230">
        <v>125983.42</v>
      </c>
      <c r="J165" s="237">
        <f>+I165+I164+I163</f>
        <v>249857.11</v>
      </c>
      <c r="K165" s="237">
        <v>118900</v>
      </c>
      <c r="L165" s="238">
        <f>+J165-K165</f>
        <v>130957.10999999999</v>
      </c>
      <c r="M165" s="233"/>
      <c r="O165" s="231">
        <f t="shared" si="2"/>
        <v>0</v>
      </c>
    </row>
    <row r="166" spans="1:15">
      <c r="A166" s="234" t="s">
        <v>1100</v>
      </c>
      <c r="B166" s="218" t="s">
        <v>616</v>
      </c>
      <c r="C166" s="219" t="s">
        <v>1157</v>
      </c>
      <c r="D166" s="219" t="s">
        <v>1184</v>
      </c>
      <c r="E166" s="220" t="s">
        <v>33</v>
      </c>
      <c r="F166" s="239">
        <v>40831</v>
      </c>
      <c r="G166" s="236">
        <v>40872</v>
      </c>
      <c r="H166" s="236">
        <v>40921</v>
      </c>
      <c r="I166" s="230">
        <v>4000000</v>
      </c>
      <c r="J166" s="237">
        <f>+I166</f>
        <v>4000000</v>
      </c>
      <c r="K166" s="237">
        <v>118900</v>
      </c>
      <c r="L166" s="238">
        <f>+J166-K166:K166</f>
        <v>3881100</v>
      </c>
      <c r="M166" s="233"/>
      <c r="O166" s="231">
        <f t="shared" si="2"/>
        <v>3278296</v>
      </c>
    </row>
    <row r="167" spans="1:15">
      <c r="A167" s="234" t="s">
        <v>783</v>
      </c>
      <c r="B167" s="218" t="s">
        <v>621</v>
      </c>
      <c r="C167" s="219" t="s">
        <v>784</v>
      </c>
      <c r="D167" s="219" t="s">
        <v>785</v>
      </c>
      <c r="E167" s="220" t="s">
        <v>33</v>
      </c>
      <c r="F167" s="239">
        <v>40551</v>
      </c>
      <c r="G167" s="236">
        <v>40665</v>
      </c>
      <c r="H167" s="236">
        <v>40669</v>
      </c>
      <c r="I167" s="230">
        <v>70332.55</v>
      </c>
      <c r="J167" s="230"/>
      <c r="K167" s="230"/>
      <c r="L167" s="224"/>
      <c r="M167" s="233"/>
      <c r="O167" s="231">
        <f t="shared" si="2"/>
        <v>0</v>
      </c>
    </row>
    <row r="168" spans="1:15">
      <c r="A168" s="234" t="s">
        <v>786</v>
      </c>
      <c r="B168" s="218" t="s">
        <v>616</v>
      </c>
      <c r="C168" s="219" t="s">
        <v>784</v>
      </c>
      <c r="D168" s="219" t="s">
        <v>785</v>
      </c>
      <c r="E168" s="220" t="s">
        <v>33</v>
      </c>
      <c r="F168" s="239">
        <v>40551</v>
      </c>
      <c r="G168" s="236">
        <v>40665</v>
      </c>
      <c r="H168" s="236">
        <v>40669</v>
      </c>
      <c r="I168" s="230">
        <v>300933.33</v>
      </c>
      <c r="J168" s="230">
        <f>+I168+I167</f>
        <v>371265.88</v>
      </c>
      <c r="K168" s="230">
        <v>118900</v>
      </c>
      <c r="L168" s="224">
        <f>+J168-K168</f>
        <v>252365.88</v>
      </c>
      <c r="M168" s="233"/>
      <c r="O168" s="231">
        <f t="shared" si="2"/>
        <v>0</v>
      </c>
    </row>
    <row r="169" spans="1:15">
      <c r="A169" s="234" t="s">
        <v>787</v>
      </c>
      <c r="B169" s="218" t="s">
        <v>616</v>
      </c>
      <c r="C169" s="219" t="s">
        <v>788</v>
      </c>
      <c r="D169" s="219" t="s">
        <v>789</v>
      </c>
      <c r="E169" s="220" t="s">
        <v>655</v>
      </c>
      <c r="F169" s="239">
        <v>40565</v>
      </c>
      <c r="G169" s="236">
        <v>40599</v>
      </c>
      <c r="H169" s="236">
        <v>40620</v>
      </c>
      <c r="I169" s="230">
        <v>93519.38</v>
      </c>
      <c r="J169" s="230"/>
      <c r="K169" s="230"/>
      <c r="L169" s="224"/>
      <c r="M169" s="233"/>
      <c r="O169" s="231">
        <f t="shared" si="2"/>
        <v>0</v>
      </c>
    </row>
    <row r="170" spans="1:15">
      <c r="A170" s="234" t="s">
        <v>790</v>
      </c>
      <c r="B170" s="218" t="s">
        <v>621</v>
      </c>
      <c r="C170" s="219" t="s">
        <v>788</v>
      </c>
      <c r="D170" s="219" t="s">
        <v>789</v>
      </c>
      <c r="E170" s="220" t="s">
        <v>655</v>
      </c>
      <c r="F170" s="239">
        <v>40565</v>
      </c>
      <c r="G170" s="236">
        <v>40599</v>
      </c>
      <c r="H170" s="236">
        <v>40620</v>
      </c>
      <c r="I170" s="230">
        <v>44247.69</v>
      </c>
      <c r="J170" s="230">
        <f>+I170+I169</f>
        <v>137767.07</v>
      </c>
      <c r="K170" s="230">
        <v>118900</v>
      </c>
      <c r="L170" s="224">
        <f>+J170-K170</f>
        <v>18867.070000000007</v>
      </c>
      <c r="M170" s="233"/>
      <c r="O170" s="231">
        <f t="shared" si="2"/>
        <v>0</v>
      </c>
    </row>
    <row r="171" spans="1:15">
      <c r="A171" s="234" t="s">
        <v>791</v>
      </c>
      <c r="B171" s="218" t="s">
        <v>616</v>
      </c>
      <c r="C171" s="219" t="s">
        <v>792</v>
      </c>
      <c r="D171" s="219" t="s">
        <v>38</v>
      </c>
      <c r="E171" s="220" t="s">
        <v>33</v>
      </c>
      <c r="F171" s="239">
        <v>40642</v>
      </c>
      <c r="G171" s="236">
        <v>40723</v>
      </c>
      <c r="H171" s="236">
        <v>40736</v>
      </c>
      <c r="I171" s="230">
        <v>200000</v>
      </c>
      <c r="J171" s="230"/>
      <c r="K171" s="230"/>
      <c r="L171" s="224"/>
      <c r="M171" s="233"/>
      <c r="O171" s="231">
        <f t="shared" si="2"/>
        <v>0</v>
      </c>
    </row>
    <row r="172" spans="1:15">
      <c r="A172" s="234" t="s">
        <v>793</v>
      </c>
      <c r="B172" s="218" t="s">
        <v>621</v>
      </c>
      <c r="C172" s="219" t="s">
        <v>792</v>
      </c>
      <c r="D172" s="219" t="s">
        <v>38</v>
      </c>
      <c r="E172" s="220" t="s">
        <v>33</v>
      </c>
      <c r="F172" s="239">
        <v>40642</v>
      </c>
      <c r="G172" s="236">
        <v>40743</v>
      </c>
      <c r="H172" s="236">
        <v>40781</v>
      </c>
      <c r="I172" s="230">
        <v>53000</v>
      </c>
      <c r="J172" s="230">
        <f>+I172+I171</f>
        <v>253000</v>
      </c>
      <c r="K172" s="230">
        <v>118900</v>
      </c>
      <c r="L172" s="224">
        <f>+J172-K172</f>
        <v>134100</v>
      </c>
      <c r="M172" s="233"/>
      <c r="O172" s="231">
        <f t="shared" si="2"/>
        <v>0</v>
      </c>
    </row>
    <row r="173" spans="1:15">
      <c r="A173" s="234" t="s">
        <v>1101</v>
      </c>
      <c r="B173" s="218" t="s">
        <v>616</v>
      </c>
      <c r="C173" s="219" t="s">
        <v>1158</v>
      </c>
      <c r="D173" s="219" t="s">
        <v>38</v>
      </c>
      <c r="E173" s="220" t="s">
        <v>33</v>
      </c>
      <c r="F173" s="239">
        <v>40861</v>
      </c>
      <c r="G173" s="236">
        <v>40903</v>
      </c>
      <c r="H173" s="236">
        <v>40934</v>
      </c>
      <c r="I173" s="230">
        <v>103000</v>
      </c>
      <c r="J173" s="237"/>
      <c r="K173" s="237"/>
      <c r="L173" s="238"/>
      <c r="M173" s="233"/>
      <c r="O173" s="231">
        <f t="shared" si="2"/>
        <v>0</v>
      </c>
    </row>
    <row r="174" spans="1:15">
      <c r="A174" s="234" t="s">
        <v>1102</v>
      </c>
      <c r="B174" s="218" t="s">
        <v>621</v>
      </c>
      <c r="C174" s="219" t="s">
        <v>1158</v>
      </c>
      <c r="D174" s="219" t="s">
        <v>38</v>
      </c>
      <c r="E174" s="220" t="s">
        <v>33</v>
      </c>
      <c r="F174" s="239">
        <v>40861</v>
      </c>
      <c r="G174" s="236">
        <v>40903</v>
      </c>
      <c r="H174" s="236">
        <v>40934</v>
      </c>
      <c r="I174" s="230">
        <v>114473.59</v>
      </c>
      <c r="J174" s="237">
        <f>+I174+I173</f>
        <v>217473.59</v>
      </c>
      <c r="K174" s="237">
        <v>118900</v>
      </c>
      <c r="L174" s="238">
        <f>+J174-K174</f>
        <v>98573.59</v>
      </c>
      <c r="M174" s="233"/>
      <c r="O174" s="231">
        <f t="shared" si="2"/>
        <v>0</v>
      </c>
    </row>
    <row r="175" spans="1:15">
      <c r="A175" s="234" t="s">
        <v>794</v>
      </c>
      <c r="B175" s="218" t="s">
        <v>616</v>
      </c>
      <c r="C175" s="219" t="s">
        <v>795</v>
      </c>
      <c r="D175" s="219" t="s">
        <v>38</v>
      </c>
      <c r="E175" s="220" t="s">
        <v>655</v>
      </c>
      <c r="F175" s="239">
        <v>40561</v>
      </c>
      <c r="G175" s="236">
        <v>40590</v>
      </c>
      <c r="H175" s="236">
        <v>40626</v>
      </c>
      <c r="I175" s="230">
        <v>389000</v>
      </c>
      <c r="J175" s="230"/>
      <c r="K175" s="230"/>
      <c r="L175" s="224"/>
      <c r="M175" s="233"/>
      <c r="O175" s="231">
        <f t="shared" si="2"/>
        <v>0</v>
      </c>
    </row>
    <row r="176" spans="1:15">
      <c r="A176" s="234" t="s">
        <v>796</v>
      </c>
      <c r="B176" s="218" t="s">
        <v>621</v>
      </c>
      <c r="C176" s="219" t="s">
        <v>795</v>
      </c>
      <c r="D176" s="219" t="s">
        <v>38</v>
      </c>
      <c r="E176" s="220" t="s">
        <v>655</v>
      </c>
      <c r="F176" s="239">
        <v>40561</v>
      </c>
      <c r="G176" s="236">
        <v>40590</v>
      </c>
      <c r="H176" s="236">
        <v>40626</v>
      </c>
      <c r="I176" s="230">
        <v>65179.23</v>
      </c>
      <c r="J176" s="230">
        <f>+I176+I175</f>
        <v>454179.23</v>
      </c>
      <c r="K176" s="230">
        <v>118900</v>
      </c>
      <c r="L176" s="224">
        <f>+J176-K176</f>
        <v>335279.23</v>
      </c>
      <c r="M176" s="233"/>
      <c r="O176" s="231">
        <f t="shared" si="2"/>
        <v>0</v>
      </c>
    </row>
    <row r="177" spans="1:15">
      <c r="A177" s="234" t="s">
        <v>1201</v>
      </c>
      <c r="B177" s="218" t="s">
        <v>30</v>
      </c>
      <c r="C177" s="219" t="s">
        <v>1202</v>
      </c>
      <c r="D177" s="219" t="s">
        <v>1203</v>
      </c>
      <c r="E177" s="220" t="s">
        <v>33</v>
      </c>
      <c r="F177" s="239">
        <v>40776</v>
      </c>
      <c r="G177" s="236">
        <v>42373</v>
      </c>
      <c r="H177" s="236">
        <v>42409</v>
      </c>
      <c r="I177" s="230">
        <v>39841.660000000003</v>
      </c>
      <c r="J177" s="230"/>
      <c r="K177" s="230"/>
      <c r="L177" s="224"/>
      <c r="M177" s="233"/>
      <c r="O177" s="231">
        <f t="shared" si="2"/>
        <v>0</v>
      </c>
    </row>
    <row r="178" spans="1:15">
      <c r="A178" s="234" t="s">
        <v>1201</v>
      </c>
      <c r="B178" s="218" t="s">
        <v>28</v>
      </c>
      <c r="C178" s="219" t="s">
        <v>1202</v>
      </c>
      <c r="D178" s="219" t="s">
        <v>1203</v>
      </c>
      <c r="E178" s="220" t="s">
        <v>33</v>
      </c>
      <c r="F178" s="239">
        <v>40776</v>
      </c>
      <c r="G178" s="236">
        <v>42373</v>
      </c>
      <c r="H178" s="236">
        <v>42409</v>
      </c>
      <c r="I178" s="230">
        <v>200000</v>
      </c>
      <c r="J178" s="230">
        <f>+I178+I177</f>
        <v>239841.66</v>
      </c>
      <c r="K178" s="230">
        <v>118900</v>
      </c>
      <c r="L178" s="224">
        <f>+J178-K178</f>
        <v>120941.66</v>
      </c>
      <c r="M178" s="233"/>
      <c r="O178" s="231">
        <f t="shared" si="2"/>
        <v>0</v>
      </c>
    </row>
    <row r="179" spans="1:15">
      <c r="A179" s="234" t="s">
        <v>1099</v>
      </c>
      <c r="B179" s="218" t="s">
        <v>621</v>
      </c>
      <c r="C179" s="219" t="s">
        <v>1160</v>
      </c>
      <c r="D179" s="219" t="s">
        <v>38</v>
      </c>
      <c r="E179" s="220" t="s">
        <v>33</v>
      </c>
      <c r="F179" s="239">
        <v>40793</v>
      </c>
      <c r="G179" s="236">
        <v>40921</v>
      </c>
      <c r="H179" s="236">
        <v>40934</v>
      </c>
      <c r="I179" s="230">
        <v>23000</v>
      </c>
      <c r="J179" s="237"/>
      <c r="K179" s="237"/>
      <c r="L179" s="238"/>
      <c r="M179" s="233"/>
      <c r="O179" s="231">
        <f t="shared" si="2"/>
        <v>0</v>
      </c>
    </row>
    <row r="180" spans="1:15">
      <c r="A180" s="234" t="s">
        <v>1105</v>
      </c>
      <c r="B180" s="218" t="s">
        <v>616</v>
      </c>
      <c r="C180" s="219" t="s">
        <v>1160</v>
      </c>
      <c r="D180" s="219" t="s">
        <v>38</v>
      </c>
      <c r="E180" s="220" t="s">
        <v>33</v>
      </c>
      <c r="F180" s="239">
        <v>40793</v>
      </c>
      <c r="G180" s="236">
        <v>40921</v>
      </c>
      <c r="H180" s="236">
        <v>40934</v>
      </c>
      <c r="I180" s="230">
        <v>151535.23000000001</v>
      </c>
      <c r="J180" s="237">
        <f>+I180+I179</f>
        <v>174535.23</v>
      </c>
      <c r="K180" s="237">
        <v>118900</v>
      </c>
      <c r="L180" s="238">
        <f>+J180-K180</f>
        <v>55635.23000000001</v>
      </c>
      <c r="M180" s="233"/>
      <c r="O180" s="231">
        <f t="shared" si="2"/>
        <v>0</v>
      </c>
    </row>
    <row r="181" spans="1:15">
      <c r="A181" s="234" t="s">
        <v>1123</v>
      </c>
      <c r="B181" s="218" t="s">
        <v>616</v>
      </c>
      <c r="C181" s="219" t="s">
        <v>1169</v>
      </c>
      <c r="D181" s="219" t="s">
        <v>1187</v>
      </c>
      <c r="E181" s="220"/>
      <c r="F181" s="239">
        <v>40898</v>
      </c>
      <c r="G181" s="236">
        <v>40975</v>
      </c>
      <c r="H181" s="236">
        <v>40981</v>
      </c>
      <c r="I181" s="230">
        <v>425560.44</v>
      </c>
      <c r="J181" s="237"/>
      <c r="K181" s="237"/>
      <c r="L181" s="238"/>
      <c r="M181" s="233"/>
      <c r="O181" s="231">
        <f t="shared" si="2"/>
        <v>0</v>
      </c>
    </row>
    <row r="182" spans="1:15">
      <c r="A182" s="234" t="s">
        <v>1150</v>
      </c>
      <c r="B182" s="218" t="s">
        <v>23</v>
      </c>
      <c r="C182" s="219" t="s">
        <v>1182</v>
      </c>
      <c r="D182" s="219" t="s">
        <v>1191</v>
      </c>
      <c r="E182" s="220" t="s">
        <v>33</v>
      </c>
      <c r="F182" s="239">
        <v>40898</v>
      </c>
      <c r="G182" s="236">
        <v>41072</v>
      </c>
      <c r="H182" s="236">
        <v>41080</v>
      </c>
      <c r="I182" s="230">
        <v>12956</v>
      </c>
      <c r="J182" s="237"/>
      <c r="K182" s="237"/>
      <c r="L182" s="238"/>
      <c r="M182" s="233"/>
      <c r="O182" s="231">
        <f t="shared" si="2"/>
        <v>0</v>
      </c>
    </row>
    <row r="183" spans="1:15">
      <c r="A183" s="234" t="s">
        <v>1151</v>
      </c>
      <c r="B183" s="218" t="s">
        <v>616</v>
      </c>
      <c r="C183" s="219" t="s">
        <v>1182</v>
      </c>
      <c r="D183" s="219" t="s">
        <v>1191</v>
      </c>
      <c r="E183" s="220" t="s">
        <v>33</v>
      </c>
      <c r="F183" s="239">
        <v>40898</v>
      </c>
      <c r="G183" s="236">
        <v>41072</v>
      </c>
      <c r="H183" s="236">
        <v>41141</v>
      </c>
      <c r="I183" s="230">
        <v>79000</v>
      </c>
      <c r="J183" s="237"/>
      <c r="K183" s="237"/>
      <c r="L183" s="238"/>
      <c r="M183" s="233"/>
      <c r="O183" s="231">
        <f t="shared" si="2"/>
        <v>0</v>
      </c>
    </row>
    <row r="184" spans="1:15">
      <c r="A184" s="234" t="s">
        <v>1152</v>
      </c>
      <c r="B184" s="218" t="s">
        <v>668</v>
      </c>
      <c r="C184" s="219" t="s">
        <v>1182</v>
      </c>
      <c r="D184" s="219" t="s">
        <v>1191</v>
      </c>
      <c r="E184" s="220" t="s">
        <v>33</v>
      </c>
      <c r="F184" s="239">
        <v>40898</v>
      </c>
      <c r="G184" s="236">
        <v>41081</v>
      </c>
      <c r="H184" s="236">
        <v>41141</v>
      </c>
      <c r="I184" s="230">
        <v>18221.810000000001</v>
      </c>
      <c r="J184" s="237">
        <f>SUM(I181:I184)</f>
        <v>535738.25</v>
      </c>
      <c r="K184" s="237">
        <v>118900</v>
      </c>
      <c r="L184" s="238">
        <f>+J184-K184</f>
        <v>416838.25</v>
      </c>
      <c r="M184" s="233"/>
      <c r="O184" s="231">
        <f t="shared" si="2"/>
        <v>0</v>
      </c>
    </row>
    <row r="185" spans="1:15">
      <c r="A185" s="234" t="s">
        <v>797</v>
      </c>
      <c r="B185" s="218" t="s">
        <v>621</v>
      </c>
      <c r="C185" s="219" t="s">
        <v>798</v>
      </c>
      <c r="D185" s="219" t="s">
        <v>750</v>
      </c>
      <c r="E185" s="220" t="s">
        <v>33</v>
      </c>
      <c r="F185" s="239">
        <v>40748</v>
      </c>
      <c r="G185" s="236">
        <v>40773</v>
      </c>
      <c r="H185" s="236">
        <v>40793</v>
      </c>
      <c r="I185" s="230">
        <v>10220</v>
      </c>
      <c r="J185" s="230"/>
      <c r="K185" s="230"/>
      <c r="L185" s="224"/>
      <c r="M185" s="233"/>
      <c r="O185" s="231">
        <f t="shared" si="2"/>
        <v>0</v>
      </c>
    </row>
    <row r="186" spans="1:15">
      <c r="A186" s="234" t="s">
        <v>799</v>
      </c>
      <c r="B186" s="218" t="s">
        <v>621</v>
      </c>
      <c r="C186" s="219" t="s">
        <v>798</v>
      </c>
      <c r="D186" s="219" t="s">
        <v>750</v>
      </c>
      <c r="E186" s="220" t="s">
        <v>33</v>
      </c>
      <c r="F186" s="239">
        <v>40748</v>
      </c>
      <c r="G186" s="236">
        <v>40774</v>
      </c>
      <c r="H186" s="236">
        <v>40837</v>
      </c>
      <c r="I186" s="230">
        <v>39000</v>
      </c>
      <c r="J186" s="230"/>
      <c r="K186" s="230"/>
      <c r="L186" s="224"/>
      <c r="M186" s="233"/>
      <c r="O186" s="231">
        <f t="shared" si="2"/>
        <v>0</v>
      </c>
    </row>
    <row r="187" spans="1:15">
      <c r="A187" s="234" t="s">
        <v>800</v>
      </c>
      <c r="B187" s="218" t="s">
        <v>616</v>
      </c>
      <c r="C187" s="219" t="s">
        <v>798</v>
      </c>
      <c r="D187" s="219" t="s">
        <v>750</v>
      </c>
      <c r="E187" s="220" t="s">
        <v>33</v>
      </c>
      <c r="F187" s="239">
        <v>40748</v>
      </c>
      <c r="G187" s="236">
        <v>40774</v>
      </c>
      <c r="H187" s="236">
        <v>40837</v>
      </c>
      <c r="I187" s="230">
        <v>335851.57</v>
      </c>
      <c r="J187" s="230"/>
      <c r="K187" s="230"/>
      <c r="L187" s="224"/>
      <c r="M187" s="233"/>
      <c r="O187" s="231">
        <f t="shared" si="2"/>
        <v>0</v>
      </c>
    </row>
    <row r="188" spans="1:15">
      <c r="A188" s="234" t="s">
        <v>801</v>
      </c>
      <c r="B188" s="218" t="s">
        <v>646</v>
      </c>
      <c r="C188" s="219" t="s">
        <v>798</v>
      </c>
      <c r="D188" s="219" t="s">
        <v>750</v>
      </c>
      <c r="E188" s="220" t="s">
        <v>33</v>
      </c>
      <c r="F188" s="239">
        <v>40748</v>
      </c>
      <c r="G188" s="236">
        <v>40773</v>
      </c>
      <c r="H188" s="236">
        <v>40793</v>
      </c>
      <c r="I188" s="230">
        <v>8000</v>
      </c>
      <c r="J188" s="230">
        <f>SUM(I185:I188)</f>
        <v>393071.57</v>
      </c>
      <c r="K188" s="230">
        <v>118900</v>
      </c>
      <c r="L188" s="224">
        <f>+J188-K188</f>
        <v>274171.57</v>
      </c>
      <c r="M188" s="233"/>
      <c r="O188" s="231">
        <f t="shared" si="2"/>
        <v>0</v>
      </c>
    </row>
    <row r="189" spans="1:15">
      <c r="A189" s="234" t="s">
        <v>802</v>
      </c>
      <c r="B189" s="218" t="s">
        <v>616</v>
      </c>
      <c r="C189" s="219" t="s">
        <v>803</v>
      </c>
      <c r="D189" s="219" t="s">
        <v>750</v>
      </c>
      <c r="E189" s="220" t="s">
        <v>33</v>
      </c>
      <c r="F189" s="239">
        <v>40658</v>
      </c>
      <c r="G189" s="236">
        <v>40716</v>
      </c>
      <c r="H189" s="236">
        <v>40765</v>
      </c>
      <c r="I189" s="230">
        <v>323750</v>
      </c>
      <c r="J189" s="230"/>
      <c r="K189" s="230"/>
      <c r="L189" s="224"/>
      <c r="M189" s="233"/>
      <c r="O189" s="231">
        <f t="shared" si="2"/>
        <v>0</v>
      </c>
    </row>
    <row r="190" spans="1:15">
      <c r="A190" s="234" t="s">
        <v>804</v>
      </c>
      <c r="B190" s="218" t="s">
        <v>621</v>
      </c>
      <c r="C190" s="219" t="s">
        <v>803</v>
      </c>
      <c r="D190" s="219" t="s">
        <v>750</v>
      </c>
      <c r="E190" s="220" t="s">
        <v>33</v>
      </c>
      <c r="F190" s="239">
        <v>40658</v>
      </c>
      <c r="G190" s="236">
        <v>40716</v>
      </c>
      <c r="H190" s="236">
        <v>40725</v>
      </c>
      <c r="I190" s="230">
        <v>58089.14</v>
      </c>
      <c r="J190" s="230">
        <f>+I190+I189</f>
        <v>381839.14</v>
      </c>
      <c r="K190" s="230">
        <v>118900</v>
      </c>
      <c r="L190" s="224">
        <f>+J190-K190</f>
        <v>262939.14</v>
      </c>
      <c r="M190" s="233"/>
      <c r="O190" s="231">
        <f t="shared" si="2"/>
        <v>0</v>
      </c>
    </row>
    <row r="191" spans="1:15">
      <c r="A191" s="234" t="s">
        <v>805</v>
      </c>
      <c r="B191" s="218" t="s">
        <v>621</v>
      </c>
      <c r="C191" s="219" t="s">
        <v>806</v>
      </c>
      <c r="D191" s="219" t="s">
        <v>807</v>
      </c>
      <c r="E191" s="220" t="s">
        <v>33</v>
      </c>
      <c r="F191" s="239">
        <v>40732</v>
      </c>
      <c r="G191" s="236">
        <v>40756</v>
      </c>
      <c r="H191" s="236">
        <v>40791</v>
      </c>
      <c r="I191" s="230">
        <v>48243.13</v>
      </c>
      <c r="J191" s="230"/>
      <c r="K191" s="230"/>
      <c r="L191" s="224"/>
      <c r="M191" s="233"/>
      <c r="O191" s="231">
        <f t="shared" si="2"/>
        <v>0</v>
      </c>
    </row>
    <row r="192" spans="1:15">
      <c r="A192" s="234" t="s">
        <v>808</v>
      </c>
      <c r="B192" s="218" t="s">
        <v>616</v>
      </c>
      <c r="C192" s="219" t="s">
        <v>806</v>
      </c>
      <c r="D192" s="219" t="s">
        <v>807</v>
      </c>
      <c r="E192" s="220" t="s">
        <v>33</v>
      </c>
      <c r="F192" s="239">
        <v>40732</v>
      </c>
      <c r="G192" s="236">
        <v>40756</v>
      </c>
      <c r="H192" s="236">
        <v>40791</v>
      </c>
      <c r="I192" s="230">
        <v>107100</v>
      </c>
      <c r="J192" s="230">
        <f>+I192+I191</f>
        <v>155343.13</v>
      </c>
      <c r="K192" s="230">
        <v>118900</v>
      </c>
      <c r="L192" s="224">
        <f>+J192-K192</f>
        <v>36443.130000000005</v>
      </c>
      <c r="M192" s="233"/>
      <c r="O192" s="231">
        <f t="shared" si="2"/>
        <v>0</v>
      </c>
    </row>
    <row r="193" spans="1:15">
      <c r="A193" s="234" t="s">
        <v>809</v>
      </c>
      <c r="B193" s="218" t="s">
        <v>748</v>
      </c>
      <c r="C193" s="219" t="s">
        <v>810</v>
      </c>
      <c r="D193" s="219" t="s">
        <v>811</v>
      </c>
      <c r="E193" s="220" t="s">
        <v>33</v>
      </c>
      <c r="F193" s="239">
        <v>40793</v>
      </c>
      <c r="G193" s="236">
        <v>40863</v>
      </c>
      <c r="H193" s="236">
        <v>40891</v>
      </c>
      <c r="I193" s="230">
        <v>163963.67000000001</v>
      </c>
      <c r="J193" s="230">
        <f>+I193</f>
        <v>163963.67000000001</v>
      </c>
      <c r="K193" s="230">
        <v>118900</v>
      </c>
      <c r="L193" s="224">
        <f>+J193-K193</f>
        <v>45063.670000000013</v>
      </c>
      <c r="M193" s="233"/>
      <c r="O193" s="231">
        <f t="shared" si="2"/>
        <v>0</v>
      </c>
    </row>
    <row r="194" spans="1:15">
      <c r="A194" s="234" t="s">
        <v>812</v>
      </c>
      <c r="B194" s="218" t="s">
        <v>616</v>
      </c>
      <c r="C194" s="219" t="s">
        <v>813</v>
      </c>
      <c r="D194" s="219" t="s">
        <v>209</v>
      </c>
      <c r="E194" s="220" t="s">
        <v>33</v>
      </c>
      <c r="F194" s="239">
        <v>40831</v>
      </c>
      <c r="G194" s="236">
        <v>40843</v>
      </c>
      <c r="H194" s="236">
        <v>40863</v>
      </c>
      <c r="I194" s="230">
        <v>1061229.01</v>
      </c>
      <c r="J194" s="230"/>
      <c r="K194" s="230"/>
      <c r="L194" s="224"/>
      <c r="M194" s="233"/>
      <c r="O194" s="231">
        <f t="shared" si="2"/>
        <v>0</v>
      </c>
    </row>
    <row r="195" spans="1:15">
      <c r="A195" s="234" t="s">
        <v>814</v>
      </c>
      <c r="B195" s="218" t="s">
        <v>737</v>
      </c>
      <c r="C195" s="219" t="s">
        <v>813</v>
      </c>
      <c r="D195" s="219" t="s">
        <v>209</v>
      </c>
      <c r="E195" s="220" t="s">
        <v>33</v>
      </c>
      <c r="F195" s="239">
        <v>40831</v>
      </c>
      <c r="G195" s="236">
        <v>40843</v>
      </c>
      <c r="H195" s="236">
        <v>40863</v>
      </c>
      <c r="I195" s="230">
        <v>530000</v>
      </c>
      <c r="J195" s="230">
        <f>+I195+I194</f>
        <v>1591229.01</v>
      </c>
      <c r="K195" s="230">
        <v>118900</v>
      </c>
      <c r="L195" s="224">
        <f>+J195-K195</f>
        <v>1472329.01</v>
      </c>
      <c r="M195" s="233"/>
      <c r="O195" s="231">
        <f t="shared" si="2"/>
        <v>869525.01</v>
      </c>
    </row>
    <row r="196" spans="1:15">
      <c r="A196" s="234" t="s">
        <v>1119</v>
      </c>
      <c r="B196" s="218" t="s">
        <v>621</v>
      </c>
      <c r="C196" s="219" t="s">
        <v>1167</v>
      </c>
      <c r="D196" s="219" t="s">
        <v>25</v>
      </c>
      <c r="E196" s="220" t="s">
        <v>26</v>
      </c>
      <c r="F196" s="239">
        <v>40776</v>
      </c>
      <c r="G196" s="236">
        <v>40889</v>
      </c>
      <c r="H196" s="236">
        <v>40945</v>
      </c>
      <c r="I196" s="230">
        <v>10697.86</v>
      </c>
      <c r="J196" s="237"/>
      <c r="K196" s="237"/>
      <c r="L196" s="238"/>
      <c r="M196" s="233"/>
      <c r="O196" s="231">
        <f t="shared" si="2"/>
        <v>0</v>
      </c>
    </row>
    <row r="197" spans="1:15">
      <c r="A197" s="234" t="s">
        <v>1120</v>
      </c>
      <c r="B197" s="218" t="s">
        <v>616</v>
      </c>
      <c r="C197" s="219" t="s">
        <v>1167</v>
      </c>
      <c r="D197" s="219" t="s">
        <v>25</v>
      </c>
      <c r="E197" s="220" t="s">
        <v>26</v>
      </c>
      <c r="F197" s="239">
        <v>40776</v>
      </c>
      <c r="G197" s="236">
        <v>40889</v>
      </c>
      <c r="H197" s="236">
        <v>40947</v>
      </c>
      <c r="I197" s="230">
        <v>23663.17</v>
      </c>
      <c r="J197" s="237"/>
      <c r="K197" s="237"/>
      <c r="L197" s="238"/>
      <c r="M197" s="233"/>
      <c r="O197" s="231">
        <f t="shared" si="2"/>
        <v>0</v>
      </c>
    </row>
    <row r="198" spans="1:15">
      <c r="A198" s="234" t="s">
        <v>1121</v>
      </c>
      <c r="B198" s="218" t="s">
        <v>737</v>
      </c>
      <c r="C198" s="219" t="s">
        <v>1167</v>
      </c>
      <c r="D198" s="219" t="s">
        <v>25</v>
      </c>
      <c r="E198" s="220" t="s">
        <v>26</v>
      </c>
      <c r="F198" s="239">
        <v>40776</v>
      </c>
      <c r="G198" s="236">
        <v>40889</v>
      </c>
      <c r="H198" s="236">
        <v>40945</v>
      </c>
      <c r="I198" s="230">
        <v>302500</v>
      </c>
      <c r="J198" s="237">
        <f>+I198+I197+I196</f>
        <v>336861.02999999997</v>
      </c>
      <c r="K198" s="237">
        <v>118900</v>
      </c>
      <c r="L198" s="238">
        <f>+J198-K198</f>
        <v>217961.02999999997</v>
      </c>
      <c r="M198" s="233"/>
      <c r="O198" s="231">
        <f t="shared" si="2"/>
        <v>0</v>
      </c>
    </row>
    <row r="199" spans="1:15">
      <c r="A199" s="234" t="s">
        <v>815</v>
      </c>
      <c r="B199" s="218" t="s">
        <v>616</v>
      </c>
      <c r="C199" s="219" t="s">
        <v>816</v>
      </c>
      <c r="D199" s="219" t="s">
        <v>25</v>
      </c>
      <c r="E199" s="220" t="s">
        <v>26</v>
      </c>
      <c r="F199" s="239">
        <v>40583</v>
      </c>
      <c r="G199" s="236">
        <v>40612</v>
      </c>
      <c r="H199" s="236">
        <v>40620</v>
      </c>
      <c r="I199" s="230">
        <v>111668.64</v>
      </c>
      <c r="J199" s="230"/>
      <c r="K199" s="230"/>
      <c r="L199" s="224"/>
      <c r="M199" s="233"/>
      <c r="O199" s="231">
        <f t="shared" si="2"/>
        <v>0</v>
      </c>
    </row>
    <row r="200" spans="1:15">
      <c r="A200" s="234" t="s">
        <v>817</v>
      </c>
      <c r="B200" s="218" t="s">
        <v>621</v>
      </c>
      <c r="C200" s="219" t="s">
        <v>816</v>
      </c>
      <c r="D200" s="219" t="s">
        <v>25</v>
      </c>
      <c r="E200" s="220" t="s">
        <v>26</v>
      </c>
      <c r="F200" s="239">
        <v>40583</v>
      </c>
      <c r="G200" s="236">
        <v>40612</v>
      </c>
      <c r="H200" s="236">
        <v>40620</v>
      </c>
      <c r="I200" s="230">
        <v>107464.58</v>
      </c>
      <c r="J200" s="230"/>
      <c r="K200" s="230"/>
      <c r="L200" s="224"/>
      <c r="M200" s="233"/>
      <c r="O200" s="231">
        <f t="shared" si="2"/>
        <v>0</v>
      </c>
    </row>
    <row r="201" spans="1:15">
      <c r="A201" s="234" t="s">
        <v>818</v>
      </c>
      <c r="B201" s="218" t="s">
        <v>616</v>
      </c>
      <c r="C201" s="219" t="s">
        <v>816</v>
      </c>
      <c r="D201" s="219" t="s">
        <v>25</v>
      </c>
      <c r="E201" s="220" t="s">
        <v>26</v>
      </c>
      <c r="F201" s="239">
        <v>40583</v>
      </c>
      <c r="G201" s="236">
        <v>40647</v>
      </c>
      <c r="H201" s="236">
        <v>40660</v>
      </c>
      <c r="I201" s="230">
        <v>34672.5</v>
      </c>
      <c r="J201" s="230"/>
      <c r="K201" s="230"/>
      <c r="L201" s="224"/>
      <c r="M201" s="233"/>
      <c r="O201" s="231">
        <f t="shared" si="2"/>
        <v>0</v>
      </c>
    </row>
    <row r="202" spans="1:15">
      <c r="A202" s="234" t="s">
        <v>819</v>
      </c>
      <c r="B202" s="218" t="s">
        <v>621</v>
      </c>
      <c r="C202" s="219" t="s">
        <v>816</v>
      </c>
      <c r="D202" s="219" t="s">
        <v>25</v>
      </c>
      <c r="E202" s="220" t="s">
        <v>26</v>
      </c>
      <c r="F202" s="239">
        <v>40583</v>
      </c>
      <c r="G202" s="236">
        <v>40647</v>
      </c>
      <c r="H202" s="236">
        <v>40660</v>
      </c>
      <c r="I202" s="230">
        <v>6049.5</v>
      </c>
      <c r="J202" s="230"/>
      <c r="K202" s="230"/>
      <c r="L202" s="224"/>
      <c r="M202" s="233"/>
      <c r="O202" s="231">
        <f t="shared" si="2"/>
        <v>0</v>
      </c>
    </row>
    <row r="203" spans="1:15">
      <c r="A203" s="234" t="s">
        <v>819</v>
      </c>
      <c r="B203" s="218" t="s">
        <v>621</v>
      </c>
      <c r="C203" s="219" t="s">
        <v>816</v>
      </c>
      <c r="D203" s="219" t="s">
        <v>25</v>
      </c>
      <c r="E203" s="220" t="s">
        <v>26</v>
      </c>
      <c r="F203" s="239">
        <v>40583</v>
      </c>
      <c r="G203" s="236">
        <v>40647</v>
      </c>
      <c r="H203" s="236">
        <v>40660</v>
      </c>
      <c r="I203" s="230">
        <v>18148.5</v>
      </c>
      <c r="J203" s="237">
        <f>SUM(I199:I203)</f>
        <v>278003.71999999997</v>
      </c>
      <c r="K203" s="237">
        <v>118900</v>
      </c>
      <c r="L203" s="238">
        <f>+J203-K203</f>
        <v>159103.71999999997</v>
      </c>
      <c r="M203" s="233"/>
      <c r="O203" s="231">
        <f t="shared" si="2"/>
        <v>0</v>
      </c>
    </row>
    <row r="204" spans="1:15">
      <c r="A204" s="234" t="s">
        <v>820</v>
      </c>
      <c r="B204" s="218" t="s">
        <v>748</v>
      </c>
      <c r="C204" s="219" t="s">
        <v>821</v>
      </c>
      <c r="D204" s="219" t="s">
        <v>822</v>
      </c>
      <c r="E204" s="220" t="s">
        <v>33</v>
      </c>
      <c r="F204" s="239">
        <v>40679</v>
      </c>
      <c r="G204" s="236">
        <v>40696</v>
      </c>
      <c r="H204" s="236">
        <v>40709</v>
      </c>
      <c r="I204" s="230">
        <v>119000</v>
      </c>
      <c r="J204" s="237"/>
      <c r="K204" s="237"/>
      <c r="L204" s="238"/>
      <c r="M204" s="233"/>
      <c r="O204" s="231">
        <f t="shared" ref="O204:O230" si="3">IF($J204&gt;P$8,$J204-P$8,0)</f>
        <v>0</v>
      </c>
    </row>
    <row r="205" spans="1:15">
      <c r="A205" s="234" t="s">
        <v>823</v>
      </c>
      <c r="B205" s="218" t="s">
        <v>621</v>
      </c>
      <c r="C205" s="219" t="s">
        <v>821</v>
      </c>
      <c r="D205" s="219" t="s">
        <v>822</v>
      </c>
      <c r="E205" s="220" t="s">
        <v>33</v>
      </c>
      <c r="F205" s="239">
        <v>40679</v>
      </c>
      <c r="G205" s="236">
        <v>40696</v>
      </c>
      <c r="H205" s="236">
        <v>40709</v>
      </c>
      <c r="I205" s="230">
        <v>43000</v>
      </c>
      <c r="J205" s="237"/>
      <c r="K205" s="237"/>
      <c r="L205" s="238"/>
      <c r="M205" s="233"/>
      <c r="O205" s="231">
        <f t="shared" si="3"/>
        <v>0</v>
      </c>
    </row>
    <row r="206" spans="1:15">
      <c r="A206" s="234" t="s">
        <v>823</v>
      </c>
      <c r="B206" s="218" t="s">
        <v>621</v>
      </c>
      <c r="C206" s="219" t="s">
        <v>821</v>
      </c>
      <c r="D206" s="219" t="s">
        <v>822</v>
      </c>
      <c r="E206" s="220" t="s">
        <v>33</v>
      </c>
      <c r="F206" s="239">
        <v>40679</v>
      </c>
      <c r="G206" s="236">
        <v>40696</v>
      </c>
      <c r="H206" s="236">
        <v>40780</v>
      </c>
      <c r="I206" s="230">
        <v>10000</v>
      </c>
      <c r="J206" s="237">
        <f>SUM(I204:I206)</f>
        <v>172000</v>
      </c>
      <c r="K206" s="237">
        <v>118900</v>
      </c>
      <c r="L206" s="238">
        <f>+J206-K206</f>
        <v>53100</v>
      </c>
      <c r="M206" s="233"/>
      <c r="O206" s="231">
        <f t="shared" si="3"/>
        <v>0</v>
      </c>
    </row>
    <row r="207" spans="1:15">
      <c r="A207" s="234" t="s">
        <v>824</v>
      </c>
      <c r="B207" s="218" t="s">
        <v>616</v>
      </c>
      <c r="C207" s="219" t="s">
        <v>825</v>
      </c>
      <c r="D207" s="219" t="s">
        <v>25</v>
      </c>
      <c r="E207" s="220" t="s">
        <v>26</v>
      </c>
      <c r="F207" s="239">
        <v>40657</v>
      </c>
      <c r="G207" s="236">
        <v>40686</v>
      </c>
      <c r="H207" s="236">
        <v>40696</v>
      </c>
      <c r="I207" s="230">
        <v>75669.759999999995</v>
      </c>
      <c r="J207" s="237"/>
      <c r="K207" s="237"/>
      <c r="L207" s="238"/>
      <c r="M207" s="233"/>
      <c r="O207" s="231">
        <f t="shared" si="3"/>
        <v>0</v>
      </c>
    </row>
    <row r="208" spans="1:15">
      <c r="A208" s="234" t="s">
        <v>826</v>
      </c>
      <c r="B208" s="218" t="s">
        <v>621</v>
      </c>
      <c r="C208" s="219" t="s">
        <v>825</v>
      </c>
      <c r="D208" s="219" t="s">
        <v>25</v>
      </c>
      <c r="E208" s="220" t="s">
        <v>26</v>
      </c>
      <c r="F208" s="239">
        <v>40657</v>
      </c>
      <c r="G208" s="236">
        <v>40686</v>
      </c>
      <c r="H208" s="236">
        <v>40749</v>
      </c>
      <c r="I208" s="230">
        <v>68634.7</v>
      </c>
      <c r="J208" s="237">
        <f>+I208+I207</f>
        <v>144304.46</v>
      </c>
      <c r="K208" s="237">
        <v>118900</v>
      </c>
      <c r="L208" s="238">
        <f>+J208-K208</f>
        <v>25404.459999999992</v>
      </c>
      <c r="M208" s="233"/>
      <c r="O208" s="231">
        <f t="shared" si="3"/>
        <v>0</v>
      </c>
    </row>
    <row r="209" spans="1:15">
      <c r="A209" s="234" t="s">
        <v>827</v>
      </c>
      <c r="B209" s="218" t="s">
        <v>621</v>
      </c>
      <c r="C209" s="219" t="s">
        <v>828</v>
      </c>
      <c r="D209" s="219" t="s">
        <v>25</v>
      </c>
      <c r="E209" s="220" t="s">
        <v>33</v>
      </c>
      <c r="F209" s="239">
        <v>40806</v>
      </c>
      <c r="G209" s="236">
        <v>40883</v>
      </c>
      <c r="H209" s="236">
        <v>40885</v>
      </c>
      <c r="I209" s="230">
        <v>83985.88</v>
      </c>
      <c r="J209" s="237"/>
      <c r="K209" s="237"/>
      <c r="L209" s="238"/>
      <c r="M209" s="233"/>
      <c r="O209" s="231">
        <f t="shared" si="3"/>
        <v>0</v>
      </c>
    </row>
    <row r="210" spans="1:15">
      <c r="A210" s="234" t="s">
        <v>829</v>
      </c>
      <c r="B210" s="218" t="s">
        <v>616</v>
      </c>
      <c r="C210" s="219" t="s">
        <v>828</v>
      </c>
      <c r="D210" s="219" t="s">
        <v>25</v>
      </c>
      <c r="E210" s="220" t="s">
        <v>33</v>
      </c>
      <c r="F210" s="239">
        <v>40806</v>
      </c>
      <c r="G210" s="236">
        <v>40883</v>
      </c>
      <c r="H210" s="236">
        <v>40885</v>
      </c>
      <c r="I210" s="230">
        <v>72776.149999999994</v>
      </c>
      <c r="J210" s="237">
        <f>+I210+I209</f>
        <v>156762.03</v>
      </c>
      <c r="K210" s="237">
        <v>118900</v>
      </c>
      <c r="L210" s="238">
        <f>+J210-K210</f>
        <v>37862.03</v>
      </c>
      <c r="M210" s="233"/>
      <c r="O210" s="231">
        <f t="shared" si="3"/>
        <v>0</v>
      </c>
    </row>
    <row r="211" spans="1:15">
      <c r="A211" s="234" t="s">
        <v>830</v>
      </c>
      <c r="B211" s="218" t="s">
        <v>616</v>
      </c>
      <c r="C211" s="219" t="s">
        <v>831</v>
      </c>
      <c r="D211" s="219" t="s">
        <v>25</v>
      </c>
      <c r="E211" s="220" t="s">
        <v>26</v>
      </c>
      <c r="F211" s="239">
        <v>40783</v>
      </c>
      <c r="G211" s="236">
        <v>40830</v>
      </c>
      <c r="H211" s="236">
        <v>40863</v>
      </c>
      <c r="I211" s="230">
        <v>200000</v>
      </c>
      <c r="J211" s="237"/>
      <c r="K211" s="237"/>
      <c r="L211" s="238"/>
      <c r="M211" s="233"/>
      <c r="O211" s="231">
        <f t="shared" si="3"/>
        <v>0</v>
      </c>
    </row>
    <row r="212" spans="1:15">
      <c r="A212" s="234" t="s">
        <v>832</v>
      </c>
      <c r="B212" s="218" t="s">
        <v>621</v>
      </c>
      <c r="C212" s="219" t="s">
        <v>831</v>
      </c>
      <c r="D212" s="219" t="s">
        <v>25</v>
      </c>
      <c r="E212" s="220" t="s">
        <v>26</v>
      </c>
      <c r="F212" s="239">
        <v>40783</v>
      </c>
      <c r="G212" s="236">
        <v>40830</v>
      </c>
      <c r="H212" s="236">
        <v>40863</v>
      </c>
      <c r="I212" s="230">
        <v>87012.36</v>
      </c>
      <c r="J212" s="237">
        <f>+I212+I211</f>
        <v>287012.36</v>
      </c>
      <c r="K212" s="237">
        <v>118900</v>
      </c>
      <c r="L212" s="238">
        <f>+J212-K212</f>
        <v>168112.36</v>
      </c>
      <c r="M212" s="233"/>
      <c r="O212" s="231">
        <f t="shared" si="3"/>
        <v>0</v>
      </c>
    </row>
    <row r="213" spans="1:15">
      <c r="A213" s="234" t="s">
        <v>833</v>
      </c>
      <c r="B213" s="218" t="s">
        <v>616</v>
      </c>
      <c r="C213" s="219" t="s">
        <v>834</v>
      </c>
      <c r="D213" s="219" t="s">
        <v>38</v>
      </c>
      <c r="E213" s="220" t="s">
        <v>33</v>
      </c>
      <c r="F213" s="239">
        <v>40692</v>
      </c>
      <c r="G213" s="236">
        <v>40760</v>
      </c>
      <c r="H213" s="236">
        <v>40777</v>
      </c>
      <c r="I213" s="230">
        <v>127177.96</v>
      </c>
      <c r="J213" s="237"/>
      <c r="K213" s="237"/>
      <c r="L213" s="238"/>
      <c r="M213" s="233"/>
      <c r="O213" s="231">
        <f t="shared" si="3"/>
        <v>0</v>
      </c>
    </row>
    <row r="214" spans="1:15">
      <c r="A214" s="234" t="s">
        <v>835</v>
      </c>
      <c r="B214" s="218" t="s">
        <v>621</v>
      </c>
      <c r="C214" s="219" t="s">
        <v>834</v>
      </c>
      <c r="D214" s="219" t="s">
        <v>38</v>
      </c>
      <c r="E214" s="220" t="s">
        <v>33</v>
      </c>
      <c r="F214" s="239">
        <v>40692</v>
      </c>
      <c r="G214" s="236">
        <v>40760</v>
      </c>
      <c r="H214" s="236">
        <v>40777</v>
      </c>
      <c r="I214" s="230">
        <v>55000</v>
      </c>
      <c r="J214" s="237">
        <f>+I214+I213</f>
        <v>182177.96000000002</v>
      </c>
      <c r="K214" s="237">
        <v>118900</v>
      </c>
      <c r="L214" s="238">
        <f>+J214-K214</f>
        <v>63277.960000000021</v>
      </c>
      <c r="M214" s="233"/>
      <c r="O214" s="231">
        <f t="shared" si="3"/>
        <v>0</v>
      </c>
    </row>
    <row r="215" spans="1:15">
      <c r="A215" s="234" t="s">
        <v>836</v>
      </c>
      <c r="B215" s="218" t="s">
        <v>621</v>
      </c>
      <c r="C215" s="219" t="s">
        <v>837</v>
      </c>
      <c r="D215" s="219" t="s">
        <v>25</v>
      </c>
      <c r="E215" s="220" t="s">
        <v>26</v>
      </c>
      <c r="F215" s="239">
        <v>40750</v>
      </c>
      <c r="G215" s="236">
        <v>40807</v>
      </c>
      <c r="H215" s="236">
        <v>40843</v>
      </c>
      <c r="I215" s="230">
        <v>116760.94</v>
      </c>
      <c r="J215" s="237"/>
      <c r="K215" s="237"/>
      <c r="L215" s="238"/>
      <c r="M215" s="233"/>
      <c r="O215" s="231">
        <f t="shared" si="3"/>
        <v>0</v>
      </c>
    </row>
    <row r="216" spans="1:15">
      <c r="A216" s="234" t="s">
        <v>838</v>
      </c>
      <c r="B216" s="218" t="s">
        <v>616</v>
      </c>
      <c r="C216" s="219" t="s">
        <v>837</v>
      </c>
      <c r="D216" s="219" t="s">
        <v>25</v>
      </c>
      <c r="E216" s="220" t="s">
        <v>26</v>
      </c>
      <c r="F216" s="239">
        <v>40750</v>
      </c>
      <c r="G216" s="236">
        <v>40807</v>
      </c>
      <c r="H216" s="236">
        <v>40843</v>
      </c>
      <c r="I216" s="230">
        <v>216000</v>
      </c>
      <c r="J216" s="237">
        <f>+I216+I215</f>
        <v>332760.94</v>
      </c>
      <c r="K216" s="237">
        <v>118900</v>
      </c>
      <c r="L216" s="238">
        <f>+J216-K216</f>
        <v>213860.94</v>
      </c>
      <c r="M216" s="233"/>
      <c r="O216" s="231">
        <f t="shared" si="3"/>
        <v>0</v>
      </c>
    </row>
    <row r="217" spans="1:15">
      <c r="A217" s="234" t="s">
        <v>839</v>
      </c>
      <c r="B217" s="218" t="s">
        <v>616</v>
      </c>
      <c r="C217" s="219" t="s">
        <v>840</v>
      </c>
      <c r="D217" s="219" t="s">
        <v>841</v>
      </c>
      <c r="E217" s="220" t="s">
        <v>33</v>
      </c>
      <c r="F217" s="239">
        <v>40585</v>
      </c>
      <c r="G217" s="236">
        <v>40665</v>
      </c>
      <c r="H217" s="236">
        <v>40667</v>
      </c>
      <c r="I217" s="230">
        <v>108642.11</v>
      </c>
      <c r="J217" s="237"/>
      <c r="K217" s="237"/>
      <c r="L217" s="238"/>
      <c r="M217" s="233"/>
      <c r="O217" s="231">
        <f t="shared" si="3"/>
        <v>0</v>
      </c>
    </row>
    <row r="218" spans="1:15">
      <c r="A218" s="234" t="s">
        <v>842</v>
      </c>
      <c r="B218" s="218" t="s">
        <v>621</v>
      </c>
      <c r="C218" s="219" t="s">
        <v>840</v>
      </c>
      <c r="D218" s="219" t="s">
        <v>841</v>
      </c>
      <c r="E218" s="220" t="s">
        <v>33</v>
      </c>
      <c r="F218" s="239">
        <v>40585</v>
      </c>
      <c r="G218" s="236">
        <v>40665</v>
      </c>
      <c r="H218" s="236">
        <v>40667</v>
      </c>
      <c r="I218" s="230">
        <v>47864.34</v>
      </c>
      <c r="J218" s="237">
        <f>+I218+I217</f>
        <v>156506.45000000001</v>
      </c>
      <c r="K218" s="237">
        <v>118900</v>
      </c>
      <c r="L218" s="238">
        <f>+J218-K218</f>
        <v>37606.450000000012</v>
      </c>
      <c r="M218" s="233"/>
      <c r="O218" s="231">
        <f t="shared" si="3"/>
        <v>0</v>
      </c>
    </row>
    <row r="219" spans="1:15">
      <c r="A219" s="234" t="s">
        <v>843</v>
      </c>
      <c r="B219" s="218" t="s">
        <v>616</v>
      </c>
      <c r="C219" s="219" t="s">
        <v>844</v>
      </c>
      <c r="D219" s="219" t="s">
        <v>38</v>
      </c>
      <c r="E219" s="220" t="s">
        <v>33</v>
      </c>
      <c r="F219" s="239">
        <v>40693</v>
      </c>
      <c r="G219" s="236">
        <v>40793</v>
      </c>
      <c r="H219" s="236">
        <v>40814</v>
      </c>
      <c r="I219" s="230">
        <v>265059.8</v>
      </c>
      <c r="J219" s="237"/>
      <c r="K219" s="237"/>
      <c r="L219" s="238"/>
      <c r="M219" s="233"/>
      <c r="O219" s="231">
        <f t="shared" si="3"/>
        <v>0</v>
      </c>
    </row>
    <row r="220" spans="1:15">
      <c r="A220" s="234" t="s">
        <v>845</v>
      </c>
      <c r="B220" s="218" t="s">
        <v>621</v>
      </c>
      <c r="C220" s="219" t="s">
        <v>844</v>
      </c>
      <c r="D220" s="219" t="s">
        <v>38</v>
      </c>
      <c r="E220" s="220" t="s">
        <v>33</v>
      </c>
      <c r="F220" s="239">
        <v>40693</v>
      </c>
      <c r="G220" s="236">
        <v>40793</v>
      </c>
      <c r="H220" s="236">
        <v>40814</v>
      </c>
      <c r="I220" s="230">
        <v>109988.36</v>
      </c>
      <c r="J220" s="237">
        <f>+I220+I219</f>
        <v>375048.16</v>
      </c>
      <c r="K220" s="237">
        <v>118900</v>
      </c>
      <c r="L220" s="238">
        <f>+J220-K220</f>
        <v>256148.15999999997</v>
      </c>
      <c r="M220" s="233"/>
      <c r="O220" s="231">
        <f t="shared" si="3"/>
        <v>0</v>
      </c>
    </row>
    <row r="221" spans="1:15">
      <c r="A221" s="234" t="s">
        <v>846</v>
      </c>
      <c r="B221" s="218" t="s">
        <v>621</v>
      </c>
      <c r="C221" s="219" t="s">
        <v>847</v>
      </c>
      <c r="D221" s="219" t="s">
        <v>38</v>
      </c>
      <c r="E221" s="220" t="s">
        <v>33</v>
      </c>
      <c r="F221" s="239">
        <v>40600</v>
      </c>
      <c r="G221" s="236">
        <v>40708</v>
      </c>
      <c r="H221" s="236">
        <v>40750</v>
      </c>
      <c r="I221" s="230">
        <v>94649.18</v>
      </c>
      <c r="J221" s="237"/>
      <c r="K221" s="237"/>
      <c r="L221" s="238"/>
      <c r="M221" s="233"/>
      <c r="O221" s="231">
        <f t="shared" si="3"/>
        <v>0</v>
      </c>
    </row>
    <row r="222" spans="1:15">
      <c r="A222" s="234" t="s">
        <v>848</v>
      </c>
      <c r="B222" s="218" t="s">
        <v>616</v>
      </c>
      <c r="C222" s="219" t="s">
        <v>847</v>
      </c>
      <c r="D222" s="219" t="s">
        <v>38</v>
      </c>
      <c r="E222" s="220" t="s">
        <v>33</v>
      </c>
      <c r="F222" s="239">
        <v>40600</v>
      </c>
      <c r="G222" s="236">
        <v>40708</v>
      </c>
      <c r="H222" s="236">
        <v>40750</v>
      </c>
      <c r="I222" s="230">
        <v>40000</v>
      </c>
      <c r="J222" s="237">
        <f>+I222+I221</f>
        <v>134649.18</v>
      </c>
      <c r="K222" s="237">
        <v>118900</v>
      </c>
      <c r="L222" s="238">
        <f>+J222-K222</f>
        <v>15749.179999999993</v>
      </c>
      <c r="M222" s="233"/>
      <c r="O222" s="231">
        <f t="shared" si="3"/>
        <v>0</v>
      </c>
    </row>
    <row r="223" spans="1:15">
      <c r="A223" s="234" t="s">
        <v>849</v>
      </c>
      <c r="B223" s="218" t="s">
        <v>616</v>
      </c>
      <c r="C223" s="219" t="s">
        <v>850</v>
      </c>
      <c r="D223" s="219" t="s">
        <v>38</v>
      </c>
      <c r="E223" s="220" t="s">
        <v>33</v>
      </c>
      <c r="F223" s="239">
        <v>40563</v>
      </c>
      <c r="G223" s="236">
        <v>40674</v>
      </c>
      <c r="H223" s="236">
        <v>40686</v>
      </c>
      <c r="I223" s="230">
        <v>123381.49</v>
      </c>
      <c r="J223" s="237"/>
      <c r="K223" s="237"/>
      <c r="L223" s="238"/>
      <c r="M223" s="233"/>
      <c r="O223" s="231">
        <f t="shared" si="3"/>
        <v>0</v>
      </c>
    </row>
    <row r="224" spans="1:15">
      <c r="A224" s="234" t="s">
        <v>1109</v>
      </c>
      <c r="B224" s="218" t="s">
        <v>621</v>
      </c>
      <c r="C224" s="219" t="s">
        <v>850</v>
      </c>
      <c r="D224" s="219" t="s">
        <v>38</v>
      </c>
      <c r="E224" s="220" t="s">
        <v>33</v>
      </c>
      <c r="F224" s="239">
        <v>40563</v>
      </c>
      <c r="G224" s="236">
        <v>40674</v>
      </c>
      <c r="H224" s="236">
        <v>40955</v>
      </c>
      <c r="I224" s="230">
        <v>62059.63</v>
      </c>
      <c r="J224" s="237">
        <f>+I224+I223</f>
        <v>185441.12</v>
      </c>
      <c r="K224" s="237">
        <v>118900</v>
      </c>
      <c r="L224" s="238">
        <f>+J224-K224</f>
        <v>66541.119999999995</v>
      </c>
      <c r="M224" s="233"/>
      <c r="O224" s="231">
        <f t="shared" si="3"/>
        <v>0</v>
      </c>
    </row>
    <row r="225" spans="1:15">
      <c r="A225" s="234" t="s">
        <v>851</v>
      </c>
      <c r="B225" s="218" t="s">
        <v>621</v>
      </c>
      <c r="C225" s="219" t="s">
        <v>852</v>
      </c>
      <c r="D225" s="219" t="s">
        <v>38</v>
      </c>
      <c r="E225" s="220" t="s">
        <v>33</v>
      </c>
      <c r="F225" s="239">
        <v>40711</v>
      </c>
      <c r="G225" s="236">
        <v>40730</v>
      </c>
      <c r="H225" s="236">
        <v>40750</v>
      </c>
      <c r="I225" s="230">
        <v>65803.38</v>
      </c>
      <c r="J225" s="237"/>
      <c r="K225" s="237"/>
      <c r="L225" s="238"/>
      <c r="M225" s="233"/>
      <c r="O225" s="231">
        <f t="shared" si="3"/>
        <v>0</v>
      </c>
    </row>
    <row r="226" spans="1:15">
      <c r="A226" s="234" t="s">
        <v>853</v>
      </c>
      <c r="B226" s="218" t="s">
        <v>616</v>
      </c>
      <c r="C226" s="219" t="s">
        <v>852</v>
      </c>
      <c r="D226" s="219" t="s">
        <v>38</v>
      </c>
      <c r="E226" s="220" t="s">
        <v>33</v>
      </c>
      <c r="F226" s="239">
        <v>40711</v>
      </c>
      <c r="G226" s="236">
        <v>40730</v>
      </c>
      <c r="H226" s="236">
        <v>40750</v>
      </c>
      <c r="I226" s="230">
        <v>280000</v>
      </c>
      <c r="J226" s="237">
        <f>+I226+I225</f>
        <v>345803.38</v>
      </c>
      <c r="K226" s="237">
        <v>118900</v>
      </c>
      <c r="L226" s="238">
        <f>+J226-K226</f>
        <v>226903.38</v>
      </c>
      <c r="M226" s="233"/>
      <c r="O226" s="231">
        <f t="shared" si="3"/>
        <v>0</v>
      </c>
    </row>
    <row r="227" spans="1:15">
      <c r="A227" s="234" t="s">
        <v>1106</v>
      </c>
      <c r="B227" s="218" t="s">
        <v>621</v>
      </c>
      <c r="C227" s="219" t="s">
        <v>1161</v>
      </c>
      <c r="D227" s="219" t="s">
        <v>38</v>
      </c>
      <c r="E227" s="220" t="s">
        <v>33</v>
      </c>
      <c r="F227" s="239">
        <v>40871</v>
      </c>
      <c r="G227" s="236">
        <v>40899</v>
      </c>
      <c r="H227" s="236">
        <v>40934</v>
      </c>
      <c r="I227" s="230">
        <v>60090.55</v>
      </c>
      <c r="J227" s="237"/>
      <c r="K227" s="237"/>
      <c r="L227" s="238"/>
      <c r="M227" s="233"/>
      <c r="O227" s="231">
        <f t="shared" si="3"/>
        <v>0</v>
      </c>
    </row>
    <row r="228" spans="1:15">
      <c r="A228" s="234" t="s">
        <v>1107</v>
      </c>
      <c r="B228" s="218" t="s">
        <v>616</v>
      </c>
      <c r="C228" s="219" t="s">
        <v>1161</v>
      </c>
      <c r="D228" s="219" t="s">
        <v>38</v>
      </c>
      <c r="E228" s="220" t="s">
        <v>33</v>
      </c>
      <c r="F228" s="239">
        <v>40871</v>
      </c>
      <c r="G228" s="236">
        <v>40899</v>
      </c>
      <c r="H228" s="236">
        <v>40934</v>
      </c>
      <c r="I228" s="230">
        <v>363834.53</v>
      </c>
      <c r="J228" s="237">
        <f>+I228+I227</f>
        <v>423925.08</v>
      </c>
      <c r="K228" s="237">
        <v>118900</v>
      </c>
      <c r="L228" s="238">
        <f>+J228-K228</f>
        <v>305025.08</v>
      </c>
      <c r="M228" s="233"/>
      <c r="O228" s="231">
        <f t="shared" si="3"/>
        <v>0</v>
      </c>
    </row>
    <row r="229" spans="1:15">
      <c r="A229" s="234" t="s">
        <v>1145</v>
      </c>
      <c r="B229" s="218" t="s">
        <v>616</v>
      </c>
      <c r="C229" s="219" t="s">
        <v>1179</v>
      </c>
      <c r="D229" s="219" t="s">
        <v>26</v>
      </c>
      <c r="E229" s="220" t="s">
        <v>33</v>
      </c>
      <c r="F229" s="239">
        <v>40869</v>
      </c>
      <c r="G229" s="236">
        <v>41144</v>
      </c>
      <c r="H229" s="236">
        <v>41148</v>
      </c>
      <c r="I229" s="230">
        <v>258986.92</v>
      </c>
      <c r="J229" s="237">
        <v>258986.92</v>
      </c>
      <c r="K229" s="237">
        <v>118900</v>
      </c>
      <c r="L229" s="238">
        <f>+J229-K229</f>
        <v>140086.92000000001</v>
      </c>
      <c r="M229" s="233"/>
      <c r="O229" s="231">
        <f t="shared" si="3"/>
        <v>0</v>
      </c>
    </row>
    <row r="230" spans="1:15" ht="15" thickBot="1">
      <c r="A230" s="234" t="s">
        <v>854</v>
      </c>
      <c r="B230" s="218" t="s">
        <v>616</v>
      </c>
      <c r="C230" s="219" t="s">
        <v>855</v>
      </c>
      <c r="D230" s="219" t="s">
        <v>38</v>
      </c>
      <c r="E230" s="220" t="s">
        <v>33</v>
      </c>
      <c r="F230" s="239">
        <v>40790</v>
      </c>
      <c r="G230" s="236">
        <v>40849</v>
      </c>
      <c r="H230" s="236">
        <v>40862</v>
      </c>
      <c r="I230" s="230">
        <v>175131.43</v>
      </c>
      <c r="J230" s="237">
        <f>+I230</f>
        <v>175131.43</v>
      </c>
      <c r="K230" s="237">
        <v>118900</v>
      </c>
      <c r="L230" s="238">
        <f>+J230-K230</f>
        <v>56231.429999999993</v>
      </c>
      <c r="M230" s="233"/>
      <c r="O230" s="231">
        <f t="shared" si="3"/>
        <v>0</v>
      </c>
    </row>
    <row r="231" spans="1:15" ht="15" thickBot="1">
      <c r="A231" s="240"/>
      <c r="B231" s="240"/>
      <c r="C231" s="240"/>
      <c r="D231" s="240"/>
      <c r="E231" s="240"/>
      <c r="F231" s="240"/>
      <c r="G231" s="240"/>
      <c r="H231" s="240" t="s">
        <v>215</v>
      </c>
      <c r="I231" s="241">
        <f>SUM(I10:I230)</f>
        <v>32429202.950000007</v>
      </c>
      <c r="J231" s="241">
        <f>SUM(J10:J230)</f>
        <v>32429202.950000014</v>
      </c>
      <c r="K231" s="241">
        <f t="shared" ref="K231:L231" si="4">SUM(K10:K230)</f>
        <v>12008900</v>
      </c>
      <c r="L231" s="241">
        <f t="shared" si="4"/>
        <v>20420302.950000007</v>
      </c>
      <c r="M231" s="241">
        <f>SUM(M10:M152)</f>
        <v>0</v>
      </c>
      <c r="O231" s="242">
        <f>SUM(O10:O230)</f>
        <v>4894684.5600000005</v>
      </c>
    </row>
    <row r="232" spans="1:15">
      <c r="A232" s="243"/>
      <c r="B232" s="243"/>
      <c r="C232" s="243"/>
      <c r="D232" s="243"/>
      <c r="E232" s="243"/>
      <c r="F232" s="243"/>
      <c r="G232" s="243"/>
      <c r="H232" s="243"/>
      <c r="I232" s="243"/>
      <c r="J232" s="243"/>
      <c r="K232" s="243"/>
      <c r="L232" s="244"/>
      <c r="M232" s="182"/>
      <c r="N232" s="182"/>
      <c r="O232" s="245"/>
    </row>
    <row r="233" spans="1:15" ht="15.6">
      <c r="A233" s="246"/>
      <c r="B233" s="246"/>
      <c r="C233" s="247"/>
      <c r="D233" s="247"/>
      <c r="E233" s="247"/>
      <c r="F233" s="247"/>
      <c r="G233" s="247"/>
      <c r="H233" s="247"/>
      <c r="I233" s="248"/>
      <c r="J233" s="247"/>
      <c r="K233" s="247"/>
      <c r="L233" s="247"/>
    </row>
    <row r="234" spans="1:15" ht="15.6">
      <c r="A234" s="246"/>
      <c r="E234" s="249"/>
      <c r="F234" s="247"/>
      <c r="G234" s="247"/>
      <c r="H234" s="247"/>
      <c r="I234" s="247"/>
      <c r="J234" s="247"/>
      <c r="K234" s="247"/>
      <c r="L234" s="247"/>
    </row>
    <row r="235" spans="1:15">
      <c r="E235" s="247"/>
      <c r="F235" s="247"/>
      <c r="G235" s="247"/>
      <c r="H235" s="247"/>
      <c r="I235" s="247"/>
      <c r="J235" s="247"/>
      <c r="K235" s="247"/>
      <c r="L235" s="99"/>
    </row>
    <row r="236" spans="1:15">
      <c r="A236" s="250" t="s">
        <v>856</v>
      </c>
    </row>
    <row r="238" spans="1:15">
      <c r="B238" s="243"/>
      <c r="C238" s="243"/>
      <c r="D238" s="243"/>
    </row>
    <row r="239" spans="1:15">
      <c r="B239" s="243"/>
      <c r="C239" s="243"/>
      <c r="D239" s="243"/>
    </row>
    <row r="240" spans="1:15">
      <c r="B240" s="243"/>
      <c r="C240" s="243"/>
      <c r="D240" s="243"/>
    </row>
    <row r="241" spans="2:4">
      <c r="B241" s="243"/>
      <c r="C241" s="243"/>
      <c r="D241" s="243"/>
    </row>
    <row r="242" spans="2:4">
      <c r="B242" s="243"/>
      <c r="C242" s="243"/>
      <c r="D242" s="243"/>
    </row>
    <row r="243" spans="2:4">
      <c r="B243" s="243"/>
      <c r="C243" s="243"/>
      <c r="D243" s="243"/>
    </row>
  </sheetData>
  <autoFilter ref="A9:M231" xr:uid="{00000000-0009-0000-0000-000001000000}"/>
  <sortState xmlns:xlrd2="http://schemas.microsoft.com/office/spreadsheetml/2017/richdata2" ref="A10:M232">
    <sortCondition ref="C10:C232"/>
  </sortState>
  <mergeCells count="6">
    <mergeCell ref="A8:M8"/>
    <mergeCell ref="A3:B3"/>
    <mergeCell ref="A4:B4"/>
    <mergeCell ref="A5:B5"/>
    <mergeCell ref="A6:M6"/>
    <mergeCell ref="A7:M7"/>
  </mergeCells>
  <pageMargins left="0.17" right="0.17" top="0.75" bottom="0.75" header="0.3" footer="0.3"/>
  <pageSetup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Q107"/>
  <sheetViews>
    <sheetView showGridLines="0" tabSelected="1" topLeftCell="A85" zoomScaleNormal="100" workbookViewId="0">
      <selection activeCell="D106" sqref="D106"/>
    </sheetView>
  </sheetViews>
  <sheetFormatPr baseColWidth="10" defaultRowHeight="14.4"/>
  <cols>
    <col min="1" max="1" width="17.6640625" style="72" bestFit="1" customWidth="1"/>
    <col min="2" max="2" width="15.5546875" style="72" bestFit="1" customWidth="1"/>
    <col min="3" max="3" width="15.6640625" style="72" bestFit="1" customWidth="1"/>
    <col min="4" max="4" width="15.21875" style="72" bestFit="1" customWidth="1"/>
    <col min="5" max="6" width="17.33203125" style="72" bestFit="1" customWidth="1"/>
    <col min="7" max="7" width="15.33203125" style="72" bestFit="1" customWidth="1"/>
    <col min="8" max="8" width="15.5546875" style="72" bestFit="1" customWidth="1"/>
    <col min="9" max="9" width="27.109375" style="72" customWidth="1"/>
    <col min="10" max="10" width="14.33203125" style="72" bestFit="1" customWidth="1"/>
    <col min="11" max="11" width="11.5546875" style="72"/>
    <col min="12" max="12" width="16.6640625" style="72" bestFit="1" customWidth="1"/>
    <col min="13" max="13" width="11.5546875" style="72" bestFit="1" customWidth="1"/>
    <col min="14" max="14" width="18.5546875" style="72" bestFit="1" customWidth="1"/>
    <col min="15" max="15" width="18.44140625" style="72" customWidth="1"/>
    <col min="16" max="16" width="16.33203125" style="72" customWidth="1"/>
    <col min="17" max="17" width="14.109375" style="72" bestFit="1" customWidth="1"/>
    <col min="18" max="16384" width="11.5546875" style="72"/>
  </cols>
  <sheetData>
    <row r="2" spans="1:17">
      <c r="M2" s="822" t="s">
        <v>3158</v>
      </c>
      <c r="N2" s="822"/>
      <c r="O2" s="822"/>
      <c r="P2" s="822"/>
    </row>
    <row r="3" spans="1:17" ht="18.600000000000001" thickBot="1">
      <c r="A3" s="820" t="s">
        <v>1668</v>
      </c>
      <c r="B3" s="820"/>
      <c r="C3" s="820"/>
      <c r="D3" s="820"/>
      <c r="E3" s="820"/>
      <c r="F3" s="820"/>
      <c r="G3" s="820"/>
      <c r="H3" s="820"/>
    </row>
    <row r="4" spans="1:17" ht="29.4" thickTop="1">
      <c r="A4" s="90" t="s">
        <v>1669</v>
      </c>
      <c r="B4" s="90" t="s">
        <v>1670</v>
      </c>
      <c r="C4" s="90" t="s">
        <v>1671</v>
      </c>
      <c r="D4" s="90" t="s">
        <v>1555</v>
      </c>
      <c r="E4" s="90" t="s">
        <v>1672</v>
      </c>
      <c r="F4" s="90" t="s">
        <v>1673</v>
      </c>
      <c r="G4" s="90" t="s">
        <v>1674</v>
      </c>
      <c r="H4" s="90" t="s">
        <v>1090</v>
      </c>
      <c r="I4" s="91" t="s">
        <v>1684</v>
      </c>
      <c r="M4" s="92" t="s">
        <v>1054</v>
      </c>
      <c r="N4" s="93" t="s">
        <v>2015</v>
      </c>
      <c r="O4" s="92" t="s">
        <v>3162</v>
      </c>
      <c r="P4" s="92" t="s">
        <v>2019</v>
      </c>
    </row>
    <row r="5" spans="1:17">
      <c r="A5" s="94" t="s">
        <v>1675</v>
      </c>
      <c r="B5" s="95">
        <v>3368669</v>
      </c>
      <c r="C5" s="95">
        <v>68748</v>
      </c>
      <c r="D5" s="95">
        <f>SUM(B5:C5)</f>
        <v>3437417</v>
      </c>
      <c r="E5" s="95">
        <v>6136472.3799999999</v>
      </c>
      <c r="F5" s="96">
        <f>+D5+E5</f>
        <v>9573889.379999999</v>
      </c>
      <c r="G5" s="97" t="s">
        <v>1676</v>
      </c>
      <c r="H5" s="95">
        <v>118900</v>
      </c>
      <c r="I5" s="98">
        <f>'SINIESTROS AÑO 2011'!L231</f>
        <v>20420302.950000007</v>
      </c>
      <c r="J5" s="99"/>
      <c r="M5" s="100">
        <v>2011</v>
      </c>
      <c r="N5" s="101">
        <f>I5</f>
        <v>20420302.950000007</v>
      </c>
      <c r="O5" s="101">
        <f>F5</f>
        <v>9573889.379999999</v>
      </c>
      <c r="P5" s="102">
        <f t="shared" ref="P5:P11" si="0">N5/O5</f>
        <v>2.1329161158534307</v>
      </c>
    </row>
    <row r="6" spans="1:17">
      <c r="A6" s="94" t="s">
        <v>1677</v>
      </c>
      <c r="B6" s="95">
        <v>335000</v>
      </c>
      <c r="C6" s="95">
        <v>6837</v>
      </c>
      <c r="D6" s="95">
        <f>SUM(B6:C6)</f>
        <v>341837</v>
      </c>
      <c r="E6" s="95"/>
      <c r="F6" s="95">
        <f>+D6+E6</f>
        <v>341837</v>
      </c>
      <c r="G6" s="95"/>
      <c r="H6" s="95"/>
      <c r="I6" s="103"/>
      <c r="L6" s="82"/>
      <c r="M6" s="104">
        <v>2012</v>
      </c>
      <c r="N6" s="105">
        <f>I11</f>
        <v>16111544.090000004</v>
      </c>
      <c r="O6" s="105">
        <f>F11</f>
        <v>8739787</v>
      </c>
      <c r="P6" s="106">
        <f t="shared" si="0"/>
        <v>1.843471023950584</v>
      </c>
    </row>
    <row r="7" spans="1:17">
      <c r="A7" s="107"/>
      <c r="B7" s="108">
        <f>SUM(B5:B6)</f>
        <v>3703669</v>
      </c>
      <c r="C7" s="108">
        <f>SUM(C5:C6)</f>
        <v>75585</v>
      </c>
      <c r="D7" s="108">
        <f>SUM(D5:D6)</f>
        <v>3779254</v>
      </c>
      <c r="E7" s="108">
        <f>SUM(E5:E6)</f>
        <v>6136472.3799999999</v>
      </c>
      <c r="F7" s="108">
        <f>SUM(F5:F6)</f>
        <v>9915726.379999999</v>
      </c>
      <c r="G7" s="108"/>
      <c r="H7" s="108"/>
      <c r="I7" s="109">
        <f>SUM(I5:I6)</f>
        <v>20420302.950000007</v>
      </c>
      <c r="J7" s="110"/>
      <c r="L7" s="82"/>
      <c r="M7" s="104">
        <v>2013</v>
      </c>
      <c r="N7" s="105">
        <f>I17</f>
        <v>14654076.719999995</v>
      </c>
      <c r="O7" s="105">
        <f>F17</f>
        <v>14646721.129999999</v>
      </c>
      <c r="P7" s="106">
        <f t="shared" si="0"/>
        <v>1.0005022004539248</v>
      </c>
    </row>
    <row r="8" spans="1:17">
      <c r="A8" s="111"/>
      <c r="B8" s="112"/>
      <c r="C8" s="112"/>
      <c r="D8" s="112"/>
      <c r="E8" s="112"/>
      <c r="F8" s="112"/>
      <c r="G8" s="112"/>
      <c r="I8" s="103"/>
      <c r="L8" s="82"/>
      <c r="M8" s="104">
        <v>2014</v>
      </c>
      <c r="N8" s="113">
        <f>I23</f>
        <v>6100112.3599999985</v>
      </c>
      <c r="O8" s="113">
        <f>F23</f>
        <v>7850462.6711089993</v>
      </c>
      <c r="P8" s="114">
        <f t="shared" si="0"/>
        <v>0.77703857919730268</v>
      </c>
    </row>
    <row r="9" spans="1:17" ht="18">
      <c r="A9" s="820" t="s">
        <v>1678</v>
      </c>
      <c r="B9" s="820"/>
      <c r="C9" s="820"/>
      <c r="D9" s="820"/>
      <c r="E9" s="820"/>
      <c r="F9" s="820"/>
      <c r="G9" s="820"/>
      <c r="H9" s="820"/>
      <c r="I9" s="103"/>
      <c r="L9" s="82"/>
      <c r="M9" s="104">
        <v>2015</v>
      </c>
      <c r="N9" s="113">
        <f>I29</f>
        <v>13357913</v>
      </c>
      <c r="O9" s="113">
        <f>F29</f>
        <v>10737817.031640003</v>
      </c>
      <c r="P9" s="114">
        <f t="shared" si="0"/>
        <v>1.2440063898127185</v>
      </c>
    </row>
    <row r="10" spans="1:17" ht="17.25" customHeight="1">
      <c r="A10" s="90" t="s">
        <v>1669</v>
      </c>
      <c r="B10" s="90" t="s">
        <v>1670</v>
      </c>
      <c r="C10" s="90" t="s">
        <v>1671</v>
      </c>
      <c r="D10" s="90" t="s">
        <v>1555</v>
      </c>
      <c r="E10" s="90" t="s">
        <v>1672</v>
      </c>
      <c r="F10" s="90" t="s">
        <v>1673</v>
      </c>
      <c r="G10" s="90" t="s">
        <v>1679</v>
      </c>
      <c r="H10" s="90" t="s">
        <v>1090</v>
      </c>
      <c r="I10" s="115" t="s">
        <v>1684</v>
      </c>
      <c r="L10" s="82"/>
      <c r="M10" s="104">
        <v>2016</v>
      </c>
      <c r="N10" s="113">
        <f>I36</f>
        <v>22047202.295000002</v>
      </c>
      <c r="O10" s="113">
        <f>F36</f>
        <v>11814590.722825797</v>
      </c>
      <c r="P10" s="114">
        <f t="shared" si="0"/>
        <v>1.8660995384634689</v>
      </c>
    </row>
    <row r="11" spans="1:17">
      <c r="A11" s="94" t="s">
        <v>1675</v>
      </c>
      <c r="B11" s="95">
        <v>6618075</v>
      </c>
      <c r="C11" s="95">
        <v>92124</v>
      </c>
      <c r="D11" s="95">
        <f>SUM(B11:C11)</f>
        <v>6710199</v>
      </c>
      <c r="E11" s="95">
        <v>2029588</v>
      </c>
      <c r="F11" s="96">
        <f>+D11+E11</f>
        <v>8739787</v>
      </c>
      <c r="G11" s="97">
        <v>9.2700000000000005E-2</v>
      </c>
      <c r="H11" s="95">
        <v>118900</v>
      </c>
      <c r="I11" s="98">
        <f>'SINIESTROS AÑO 2012'!L247</f>
        <v>16111544.090000004</v>
      </c>
      <c r="J11" s="99"/>
      <c r="L11" s="82"/>
      <c r="M11" s="104">
        <v>2017</v>
      </c>
      <c r="N11" s="113">
        <f>I43</f>
        <v>10985049.370000001</v>
      </c>
      <c r="O11" s="113">
        <f>F43</f>
        <v>11284419.62479</v>
      </c>
      <c r="P11" s="114">
        <f t="shared" si="0"/>
        <v>0.97347047834588396</v>
      </c>
    </row>
    <row r="12" spans="1:17">
      <c r="A12" s="94" t="s">
        <v>1677</v>
      </c>
      <c r="B12" s="95">
        <v>360000</v>
      </c>
      <c r="C12" s="95">
        <v>7347</v>
      </c>
      <c r="D12" s="95">
        <f>SUM(B12:C12)</f>
        <v>367347</v>
      </c>
      <c r="E12" s="95"/>
      <c r="F12" s="95">
        <f>+D12+E12</f>
        <v>367347</v>
      </c>
      <c r="G12" s="95"/>
      <c r="H12" s="95"/>
      <c r="I12" s="103"/>
      <c r="M12" s="104">
        <v>2018</v>
      </c>
      <c r="N12" s="113">
        <v>23601240.597499989</v>
      </c>
      <c r="O12" s="113">
        <f>F50</f>
        <v>21339584.282626852</v>
      </c>
      <c r="P12" s="114">
        <f t="shared" ref="P12:P18" si="1">N12/O12</f>
        <v>1.1059840850186764</v>
      </c>
    </row>
    <row r="13" spans="1:17">
      <c r="A13" s="107"/>
      <c r="B13" s="108">
        <f>SUM(B11:B11)</f>
        <v>6618075</v>
      </c>
      <c r="C13" s="108">
        <f>SUM(C11:C11)</f>
        <v>92124</v>
      </c>
      <c r="D13" s="108">
        <f>SUM(D11:D11)</f>
        <v>6710199</v>
      </c>
      <c r="E13" s="108">
        <f>SUM(E11:E11)</f>
        <v>2029588</v>
      </c>
      <c r="F13" s="108">
        <f>SUM(F11:F12)</f>
        <v>9107134</v>
      </c>
      <c r="G13" s="108"/>
      <c r="H13" s="108"/>
      <c r="I13" s="109">
        <f>SUM(I11:I12)</f>
        <v>16111544.090000004</v>
      </c>
      <c r="J13" s="110"/>
      <c r="M13" s="104">
        <v>2019</v>
      </c>
      <c r="N13" s="113">
        <f>I59</f>
        <v>8301508.379999999</v>
      </c>
      <c r="O13" s="113">
        <f>F57</f>
        <v>15824598.309257999</v>
      </c>
      <c r="P13" s="114">
        <f t="shared" si="1"/>
        <v>0.52459520410974958</v>
      </c>
    </row>
    <row r="14" spans="1:17">
      <c r="A14" s="94"/>
      <c r="B14" s="95"/>
      <c r="C14" s="95"/>
      <c r="D14" s="95"/>
      <c r="E14" s="95"/>
      <c r="F14" s="116"/>
      <c r="G14" s="117"/>
      <c r="H14" s="117"/>
      <c r="I14" s="103"/>
      <c r="M14" s="104">
        <v>2020</v>
      </c>
      <c r="N14" s="113">
        <f>I63</f>
        <v>26002519.599999998</v>
      </c>
      <c r="O14" s="113">
        <f>F63</f>
        <v>23223235.219999999</v>
      </c>
      <c r="P14" s="114">
        <f t="shared" si="1"/>
        <v>1.1196768819534009</v>
      </c>
      <c r="Q14" s="118"/>
    </row>
    <row r="15" spans="1:17" ht="18">
      <c r="A15" s="820" t="s">
        <v>1680</v>
      </c>
      <c r="B15" s="820"/>
      <c r="C15" s="820"/>
      <c r="D15" s="820"/>
      <c r="E15" s="820"/>
      <c r="F15" s="820"/>
      <c r="G15" s="820"/>
      <c r="H15" s="820"/>
      <c r="I15" s="103"/>
      <c r="M15" s="104">
        <v>2021</v>
      </c>
      <c r="N15" s="113">
        <f>I69</f>
        <v>30934977.90000001</v>
      </c>
      <c r="O15" s="113">
        <f>F69</f>
        <v>30942146.27</v>
      </c>
      <c r="P15" s="114">
        <f t="shared" si="1"/>
        <v>0.99976832990389741</v>
      </c>
    </row>
    <row r="16" spans="1:17" ht="28.8">
      <c r="A16" s="90" t="s">
        <v>1669</v>
      </c>
      <c r="B16" s="90" t="s">
        <v>1670</v>
      </c>
      <c r="C16" s="90" t="s">
        <v>1671</v>
      </c>
      <c r="D16" s="90" t="s">
        <v>1555</v>
      </c>
      <c r="E16" s="90" t="s">
        <v>1672</v>
      </c>
      <c r="F16" s="90" t="s">
        <v>1673</v>
      </c>
      <c r="G16" s="90" t="s">
        <v>1679</v>
      </c>
      <c r="H16" s="90" t="s">
        <v>1090</v>
      </c>
      <c r="I16" s="115" t="s">
        <v>1684</v>
      </c>
      <c r="M16" s="119">
        <v>2022</v>
      </c>
      <c r="N16" s="120">
        <f>I75</f>
        <v>33888499.199999996</v>
      </c>
      <c r="O16" s="120">
        <f>F75</f>
        <v>43502997.499999963</v>
      </c>
      <c r="P16" s="121">
        <f t="shared" si="1"/>
        <v>0.77899227978485908</v>
      </c>
    </row>
    <row r="17" spans="1:17">
      <c r="A17" s="94" t="s">
        <v>1675</v>
      </c>
      <c r="B17" s="95">
        <v>10462260</v>
      </c>
      <c r="C17" s="95">
        <v>213516</v>
      </c>
      <c r="D17" s="95">
        <f>SUM(B17:C17)</f>
        <v>10675776</v>
      </c>
      <c r="E17" s="95">
        <v>3970945.13</v>
      </c>
      <c r="F17" s="96">
        <f>+D17+E17</f>
        <v>14646721.129999999</v>
      </c>
      <c r="G17" s="97">
        <v>0.13</v>
      </c>
      <c r="H17" s="95">
        <v>190300</v>
      </c>
      <c r="I17" s="98">
        <f>'SINIESTROS AÑO 2013'!L156</f>
        <v>14654076.719999995</v>
      </c>
      <c r="J17" s="99"/>
      <c r="L17" s="122"/>
      <c r="M17" s="104">
        <v>2023</v>
      </c>
      <c r="N17" s="105">
        <f>I81</f>
        <v>21664771.629999995</v>
      </c>
      <c r="O17" s="105">
        <f>F81</f>
        <v>25521545.612500012</v>
      </c>
      <c r="P17" s="106">
        <f t="shared" si="1"/>
        <v>0.84888164529459231</v>
      </c>
    </row>
    <row r="18" spans="1:17">
      <c r="A18" s="94" t="s">
        <v>1677</v>
      </c>
      <c r="B18" s="95">
        <v>380000</v>
      </c>
      <c r="C18" s="95">
        <v>7755</v>
      </c>
      <c r="D18" s="95">
        <f>SUM(B18:C18)</f>
        <v>387755</v>
      </c>
      <c r="E18" s="95"/>
      <c r="F18" s="95">
        <f>+D18+E18</f>
        <v>387755</v>
      </c>
      <c r="G18" s="95"/>
      <c r="H18" s="95"/>
      <c r="I18" s="103"/>
      <c r="M18" s="104">
        <v>2024</v>
      </c>
      <c r="N18" s="105">
        <f>I89</f>
        <v>35441446.039999992</v>
      </c>
      <c r="O18" s="105">
        <f>(F87/12)*9</f>
        <v>17798717.053124998</v>
      </c>
      <c r="P18" s="106">
        <f t="shared" si="1"/>
        <v>1.9912359938199806</v>
      </c>
    </row>
    <row r="19" spans="1:17" ht="15" thickBot="1">
      <c r="A19" s="107"/>
      <c r="B19" s="108">
        <f>SUM(B17:B18)</f>
        <v>10842260</v>
      </c>
      <c r="C19" s="108">
        <f>SUM(C17:C18)</f>
        <v>221271</v>
      </c>
      <c r="D19" s="108">
        <f>SUM(D17:D18)</f>
        <v>11063531</v>
      </c>
      <c r="E19" s="108">
        <f>SUM(E17:E18)</f>
        <v>3970945.13</v>
      </c>
      <c r="F19" s="108">
        <f>SUM(F17:F18)</f>
        <v>15034476.129999999</v>
      </c>
      <c r="G19" s="108"/>
      <c r="H19" s="108"/>
      <c r="I19" s="109">
        <f>SUM(I17:I18)</f>
        <v>14654076.719999995</v>
      </c>
      <c r="J19" s="110"/>
      <c r="M19" s="104">
        <v>2025</v>
      </c>
      <c r="N19" s="105">
        <f>I93</f>
        <v>22814087.23</v>
      </c>
      <c r="O19" s="105">
        <f>(F93/12)*10</f>
        <v>19797561.822916668</v>
      </c>
      <c r="P19" s="106">
        <f t="shared" ref="P19" si="2">N19/O19</f>
        <v>1.1523685307345046</v>
      </c>
    </row>
    <row r="20" spans="1:17" ht="15.6" thickTop="1" thickBot="1">
      <c r="A20" s="126"/>
      <c r="B20" s="126"/>
      <c r="C20" s="126"/>
      <c r="D20" s="126"/>
      <c r="E20" s="126"/>
      <c r="F20" s="126"/>
      <c r="G20" s="117"/>
      <c r="H20" s="117"/>
      <c r="I20" s="103"/>
      <c r="M20" s="123" t="s">
        <v>2016</v>
      </c>
      <c r="N20" s="124">
        <f>SUM(N5:N19)</f>
        <v>306325251.36249995</v>
      </c>
      <c r="O20" s="124">
        <f>SUM(O5:O19)</f>
        <v>272598073.63079131</v>
      </c>
      <c r="P20" s="125">
        <f>N20/O20</f>
        <v>1.1237249305634822</v>
      </c>
    </row>
    <row r="21" spans="1:17" ht="18.600000000000001" thickTop="1">
      <c r="A21" s="820" t="s">
        <v>1681</v>
      </c>
      <c r="B21" s="820"/>
      <c r="C21" s="820"/>
      <c r="D21" s="820"/>
      <c r="E21" s="820"/>
      <c r="F21" s="820"/>
      <c r="G21" s="820"/>
      <c r="H21" s="820"/>
      <c r="I21" s="103"/>
      <c r="M21" s="127" t="s">
        <v>3187</v>
      </c>
      <c r="N21" s="128"/>
      <c r="O21" s="128"/>
      <c r="P21" s="128"/>
    </row>
    <row r="22" spans="1:17" ht="17.25" customHeight="1">
      <c r="A22" s="90" t="s">
        <v>1669</v>
      </c>
      <c r="B22" s="90" t="s">
        <v>1670</v>
      </c>
      <c r="C22" s="90" t="s">
        <v>1671</v>
      </c>
      <c r="D22" s="90" t="s">
        <v>1555</v>
      </c>
      <c r="E22" s="90" t="s">
        <v>1672</v>
      </c>
      <c r="F22" s="90" t="s">
        <v>1673</v>
      </c>
      <c r="G22" s="90" t="s">
        <v>1679</v>
      </c>
      <c r="H22" s="90" t="s">
        <v>1090</v>
      </c>
      <c r="I22" s="115" t="s">
        <v>1684</v>
      </c>
      <c r="M22" s="127" t="s">
        <v>3475</v>
      </c>
      <c r="N22" s="128"/>
      <c r="O22" s="128"/>
      <c r="P22" s="128"/>
    </row>
    <row r="23" spans="1:17">
      <c r="A23" s="94" t="s">
        <v>1675</v>
      </c>
      <c r="B23" s="95">
        <v>5843460</v>
      </c>
      <c r="C23" s="95">
        <v>119254</v>
      </c>
      <c r="D23" s="95">
        <f>SUM(B23:C23)</f>
        <v>5962714</v>
      </c>
      <c r="E23" s="95">
        <f>'[5]Cálculo con Tasa Fija'!$B$25</f>
        <v>1887748.6711089993</v>
      </c>
      <c r="F23" s="96">
        <f>+D23+E23</f>
        <v>7850462.6711089993</v>
      </c>
      <c r="G23" s="97">
        <v>5.8099999999999999E-2</v>
      </c>
      <c r="H23" s="95">
        <v>310000</v>
      </c>
      <c r="I23" s="98">
        <f>'SINIESTROS AÑO 2014'!L107</f>
        <v>6100112.3599999985</v>
      </c>
      <c r="J23" s="99"/>
    </row>
    <row r="24" spans="1:17" ht="15" thickBot="1">
      <c r="A24" s="94" t="s">
        <v>1677</v>
      </c>
      <c r="B24" s="95">
        <v>367500</v>
      </c>
      <c r="C24" s="95">
        <v>7500</v>
      </c>
      <c r="D24" s="95">
        <f>SUM(B24:C24)</f>
        <v>375000</v>
      </c>
      <c r="E24" s="95"/>
      <c r="F24" s="95">
        <f>+D24+E24</f>
        <v>375000</v>
      </c>
      <c r="G24" s="95"/>
      <c r="H24" s="95"/>
      <c r="I24" s="103"/>
      <c r="M24" s="821" t="s">
        <v>3159</v>
      </c>
      <c r="N24" s="821"/>
      <c r="O24" s="821"/>
      <c r="P24" s="821"/>
      <c r="Q24" s="821"/>
    </row>
    <row r="25" spans="1:17" ht="28.2" thickTop="1">
      <c r="A25" s="107"/>
      <c r="B25" s="108">
        <f>SUM(B23:B24)</f>
        <v>6210960</v>
      </c>
      <c r="C25" s="108">
        <f>SUM(C23:C24)</f>
        <v>126754</v>
      </c>
      <c r="D25" s="108">
        <f>SUM(D23:D24)</f>
        <v>6337714</v>
      </c>
      <c r="E25" s="108">
        <f>SUM(E23:E24)</f>
        <v>1887748.6711089993</v>
      </c>
      <c r="F25" s="108">
        <f>SUM(F23:F24)</f>
        <v>8225462.6711089993</v>
      </c>
      <c r="G25" s="108"/>
      <c r="H25" s="108"/>
      <c r="I25" s="109">
        <f>SUM(I23:I24)</f>
        <v>6100112.3599999985</v>
      </c>
      <c r="J25" s="110"/>
      <c r="M25" s="129" t="s">
        <v>1054</v>
      </c>
      <c r="N25" s="130" t="s">
        <v>2017</v>
      </c>
      <c r="O25" s="129" t="s">
        <v>3162</v>
      </c>
      <c r="P25" s="131" t="s">
        <v>2018</v>
      </c>
      <c r="Q25" s="131" t="s">
        <v>3047</v>
      </c>
    </row>
    <row r="26" spans="1:17">
      <c r="I26" s="103"/>
      <c r="M26" s="132">
        <v>2014</v>
      </c>
      <c r="N26" s="133">
        <v>140392057.55000004</v>
      </c>
      <c r="O26" s="133">
        <f>F23</f>
        <v>7850462.6711089993</v>
      </c>
      <c r="P26" s="134">
        <v>5.8099999999999999E-2</v>
      </c>
      <c r="Q26" s="135">
        <f>O26/N26</f>
        <v>5.5918139587868711E-2</v>
      </c>
    </row>
    <row r="27" spans="1:17" ht="18">
      <c r="A27" s="820" t="s">
        <v>1682</v>
      </c>
      <c r="B27" s="820"/>
      <c r="C27" s="820"/>
      <c r="D27" s="820"/>
      <c r="E27" s="820"/>
      <c r="F27" s="820"/>
      <c r="G27" s="820"/>
      <c r="H27" s="820"/>
      <c r="I27" s="103"/>
      <c r="M27" s="136">
        <v>2015</v>
      </c>
      <c r="N27" s="137">
        <f>'[6]REPORTES ADICIONALES'!$B$29</f>
        <v>168296721.84999999</v>
      </c>
      <c r="O27" s="137">
        <f>F29</f>
        <v>10737817.031640003</v>
      </c>
      <c r="P27" s="134">
        <v>6.6000000000000003E-2</v>
      </c>
      <c r="Q27" s="135">
        <f t="shared" ref="Q27:Q35" si="3">O27/N27</f>
        <v>6.3802888812120984E-2</v>
      </c>
    </row>
    <row r="28" spans="1:17" ht="28.8">
      <c r="A28" s="90" t="s">
        <v>1669</v>
      </c>
      <c r="B28" s="90" t="s">
        <v>1670</v>
      </c>
      <c r="C28" s="90" t="s">
        <v>1671</v>
      </c>
      <c r="D28" s="90" t="s">
        <v>1555</v>
      </c>
      <c r="E28" s="90" t="s">
        <v>1672</v>
      </c>
      <c r="F28" s="90" t="s">
        <v>1673</v>
      </c>
      <c r="G28" s="90" t="s">
        <v>1679</v>
      </c>
      <c r="H28" s="90" t="s">
        <v>1090</v>
      </c>
      <c r="I28" s="115" t="s">
        <v>1684</v>
      </c>
      <c r="M28" s="136">
        <v>2016</v>
      </c>
      <c r="N28" s="137">
        <f>'[6]REPORTES ADICIONALES'!$C$29</f>
        <v>185942619.64999998</v>
      </c>
      <c r="O28" s="137">
        <f>F36</f>
        <v>11814590.722825797</v>
      </c>
      <c r="P28" s="134">
        <v>6.54E-2</v>
      </c>
      <c r="Q28" s="135">
        <f t="shared" si="3"/>
        <v>6.353890649203725E-2</v>
      </c>
    </row>
    <row r="29" spans="1:17">
      <c r="A29" s="94" t="s">
        <v>1675</v>
      </c>
      <c r="B29" s="95">
        <f>7775123-C29</f>
        <v>7619621</v>
      </c>
      <c r="C29" s="95">
        <v>155502</v>
      </c>
      <c r="D29" s="95">
        <f>SUM(B29:C29)</f>
        <v>7775123</v>
      </c>
      <c r="E29" s="95">
        <v>2962694.0316400025</v>
      </c>
      <c r="F29" s="96">
        <f>+D29+E29</f>
        <v>10737817.031640003</v>
      </c>
      <c r="G29" s="97">
        <v>6.6000000000000003E-2</v>
      </c>
      <c r="H29" s="95">
        <v>310000</v>
      </c>
      <c r="I29" s="98">
        <f>'SINIESTROS AÑO 2015'!L111</f>
        <v>13357913</v>
      </c>
      <c r="J29" s="99"/>
      <c r="M29" s="136">
        <v>2017</v>
      </c>
      <c r="N29" s="137">
        <f>'[6]REPORTES ADICIONALES'!$D$29</f>
        <v>207803960.53</v>
      </c>
      <c r="O29" s="137">
        <v>11284419.62479</v>
      </c>
      <c r="P29" s="134">
        <v>5.3754000000000003E-2</v>
      </c>
      <c r="Q29" s="135">
        <f t="shared" si="3"/>
        <v>5.4303198052670913E-2</v>
      </c>
    </row>
    <row r="30" spans="1:17">
      <c r="A30" s="94" t="s">
        <v>1677</v>
      </c>
      <c r="B30" s="95">
        <f>405000-C30</f>
        <v>396900</v>
      </c>
      <c r="C30" s="95">
        <v>8100</v>
      </c>
      <c r="D30" s="95">
        <f>SUM(B30:C30)</f>
        <v>405000</v>
      </c>
      <c r="E30" s="95"/>
      <c r="F30" s="95">
        <f>+D30+E30</f>
        <v>405000</v>
      </c>
      <c r="G30" s="95"/>
      <c r="H30" s="95"/>
      <c r="I30" s="103"/>
      <c r="M30" s="136">
        <v>2018</v>
      </c>
      <c r="N30" s="137">
        <v>231425923.58999956</v>
      </c>
      <c r="O30" s="137">
        <f>F50</f>
        <v>21339584.282626852</v>
      </c>
      <c r="P30" s="134">
        <v>8.2600000000000007E-2</v>
      </c>
      <c r="Q30" s="135">
        <f t="shared" si="3"/>
        <v>9.2209135223902741E-2</v>
      </c>
    </row>
    <row r="31" spans="1:17">
      <c r="A31" s="107"/>
      <c r="B31" s="108">
        <f>SUM(B29:B30)</f>
        <v>8016521</v>
      </c>
      <c r="C31" s="108">
        <f>SUM(C29:C30)</f>
        <v>163602</v>
      </c>
      <c r="D31" s="108">
        <f>SUM(D29:D30)</f>
        <v>8180123</v>
      </c>
      <c r="E31" s="108">
        <f>SUM(E29:E30)</f>
        <v>2962694.0316400025</v>
      </c>
      <c r="F31" s="108">
        <f>SUM(F29:F30)</f>
        <v>11142817.031640003</v>
      </c>
      <c r="G31" s="108"/>
      <c r="H31" s="108"/>
      <c r="I31" s="109">
        <f>SUM(I29:I30)</f>
        <v>13357913</v>
      </c>
      <c r="J31" s="110"/>
      <c r="M31" s="136">
        <v>2019</v>
      </c>
      <c r="N31" s="137">
        <v>272010888.56907135</v>
      </c>
      <c r="O31" s="137">
        <f>F50</f>
        <v>21339584.282626852</v>
      </c>
      <c r="P31" s="134">
        <v>5.8799999999999998E-2</v>
      </c>
      <c r="Q31" s="135">
        <f t="shared" si="3"/>
        <v>7.8451213460185146E-2</v>
      </c>
    </row>
    <row r="32" spans="1:17">
      <c r="I32" s="103"/>
      <c r="M32" s="136">
        <v>2020</v>
      </c>
      <c r="N32" s="137">
        <f>'[7]REPORTES ADICIONALES'!$G$29</f>
        <v>293791301.54140311</v>
      </c>
      <c r="O32" s="137">
        <f>N32*P32</f>
        <v>23209512.821770847</v>
      </c>
      <c r="P32" s="134">
        <v>7.9000000000000001E-2</v>
      </c>
      <c r="Q32" s="135">
        <f t="shared" si="3"/>
        <v>7.9000000000000001E-2</v>
      </c>
    </row>
    <row r="33" spans="1:17">
      <c r="I33" s="103"/>
      <c r="M33" s="136">
        <v>2021</v>
      </c>
      <c r="N33" s="137">
        <v>302228176.98833668</v>
      </c>
      <c r="O33" s="137">
        <f t="shared" ref="O33" si="4">N33*P33</f>
        <v>26263628.580286458</v>
      </c>
      <c r="P33" s="134">
        <v>8.6900000000000005E-2</v>
      </c>
      <c r="Q33" s="135">
        <f t="shared" si="3"/>
        <v>8.6900000000000005E-2</v>
      </c>
    </row>
    <row r="34" spans="1:17" ht="18">
      <c r="A34" s="820" t="s">
        <v>1683</v>
      </c>
      <c r="B34" s="820"/>
      <c r="C34" s="820"/>
      <c r="D34" s="820"/>
      <c r="E34" s="820"/>
      <c r="F34" s="820"/>
      <c r="G34" s="820"/>
      <c r="H34" s="820"/>
      <c r="I34" s="103"/>
      <c r="M34" s="136">
        <v>2022</v>
      </c>
      <c r="N34" s="137">
        <v>466714933.44608998</v>
      </c>
      <c r="O34" s="137">
        <f>F75</f>
        <v>43502997.499999963</v>
      </c>
      <c r="P34" s="134">
        <v>0.16250000000000001</v>
      </c>
      <c r="Q34" s="135">
        <f t="shared" si="3"/>
        <v>9.3211068218422399E-2</v>
      </c>
    </row>
    <row r="35" spans="1:17" ht="28.8">
      <c r="A35" s="90" t="s">
        <v>1669</v>
      </c>
      <c r="B35" s="90" t="s">
        <v>1670</v>
      </c>
      <c r="C35" s="90" t="s">
        <v>1671</v>
      </c>
      <c r="D35" s="90" t="s">
        <v>1555</v>
      </c>
      <c r="E35" s="90" t="s">
        <v>1672</v>
      </c>
      <c r="F35" s="90" t="s">
        <v>1673</v>
      </c>
      <c r="G35" s="90" t="s">
        <v>1679</v>
      </c>
      <c r="H35" s="90" t="s">
        <v>1090</v>
      </c>
      <c r="I35" s="115" t="s">
        <v>1684</v>
      </c>
      <c r="M35" s="136">
        <v>2023</v>
      </c>
      <c r="N35" s="137">
        <f>'BURNING COST'!F25</f>
        <v>428339390.36000007</v>
      </c>
      <c r="O35" s="137">
        <f>F81</f>
        <v>25521545.612500012</v>
      </c>
      <c r="P35" s="134">
        <v>9.5000000000000001E-2</v>
      </c>
      <c r="Q35" s="135">
        <f t="shared" si="3"/>
        <v>5.9582532419094808E-2</v>
      </c>
    </row>
    <row r="36" spans="1:17">
      <c r="A36" s="94" t="s">
        <v>1675</v>
      </c>
      <c r="B36" s="95">
        <v>8813560</v>
      </c>
      <c r="C36" s="95">
        <v>178440</v>
      </c>
      <c r="D36" s="95">
        <f>SUM(B36:C36)</f>
        <v>8992000</v>
      </c>
      <c r="E36" s="95">
        <v>2822590.7228257973</v>
      </c>
      <c r="F36" s="96">
        <f>+D36+E36</f>
        <v>11814590.722825797</v>
      </c>
      <c r="G36" s="97">
        <v>6.54E-2</v>
      </c>
      <c r="H36" s="95">
        <v>310000</v>
      </c>
      <c r="I36" s="98">
        <f>'SINIESTROS AÑO 2016'!L156</f>
        <v>22047202.295000002</v>
      </c>
      <c r="J36" s="99"/>
      <c r="M36" s="136">
        <v>2024</v>
      </c>
      <c r="N36" s="137">
        <f>'BURNING COST'!F26</f>
        <v>395726409.16000003</v>
      </c>
      <c r="O36" s="137">
        <f>F87</f>
        <v>23731622.737499997</v>
      </c>
      <c r="P36" s="134">
        <v>9.5000000000000001E-2</v>
      </c>
      <c r="Q36" s="135">
        <f>O36/N36</f>
        <v>5.9969772520046372E-2</v>
      </c>
    </row>
    <row r="37" spans="1:17" ht="15" thickBot="1">
      <c r="A37" s="94" t="s">
        <v>1677</v>
      </c>
      <c r="B37" s="95">
        <v>426300</v>
      </c>
      <c r="C37" s="95">
        <v>8700</v>
      </c>
      <c r="D37" s="95">
        <f>SUM(B37:C37)</f>
        <v>435000</v>
      </c>
      <c r="E37" s="95"/>
      <c r="F37" s="95">
        <f>+D37+E37</f>
        <v>435000</v>
      </c>
      <c r="G37" s="95"/>
      <c r="H37" s="95"/>
      <c r="I37" s="103"/>
      <c r="M37" s="136">
        <v>2025</v>
      </c>
      <c r="N37" s="137">
        <f>'BURNING COST'!F27</f>
        <v>311689847.47664642</v>
      </c>
      <c r="O37" s="137">
        <f>F93</f>
        <v>23757074.1875</v>
      </c>
      <c r="P37" s="134">
        <v>0.1069</v>
      </c>
      <c r="Q37" s="135">
        <f>O37/N37</f>
        <v>7.6220237456659595E-2</v>
      </c>
    </row>
    <row r="38" spans="1:17" ht="15.6" thickTop="1" thickBot="1">
      <c r="A38" s="107"/>
      <c r="B38" s="108">
        <f>SUM(B36:B37)</f>
        <v>9239860</v>
      </c>
      <c r="C38" s="108">
        <f>SUM(C36:C37)</f>
        <v>187140</v>
      </c>
      <c r="D38" s="108">
        <f>SUM(D36:D37)</f>
        <v>9427000</v>
      </c>
      <c r="E38" s="108"/>
      <c r="F38" s="108">
        <f>SUM(F36:F37)</f>
        <v>12249590.722825797</v>
      </c>
      <c r="G38" s="108"/>
      <c r="H38" s="108"/>
      <c r="I38" s="109">
        <f>SUM(I36:I37)</f>
        <v>22047202.295000002</v>
      </c>
      <c r="J38" s="110"/>
      <c r="M38" s="138" t="s">
        <v>2016</v>
      </c>
      <c r="N38" s="139">
        <f>SUM(N26:N37)</f>
        <v>3404362230.7115474</v>
      </c>
      <c r="O38" s="139">
        <f>SUM(O26:O37)</f>
        <v>250352840.05517578</v>
      </c>
      <c r="P38" s="140"/>
      <c r="Q38" s="140"/>
    </row>
    <row r="39" spans="1:17" ht="15" thickTop="1"/>
    <row r="40" spans="1:17">
      <c r="C40" s="122"/>
    </row>
    <row r="41" spans="1:17" ht="18.600000000000001" thickBot="1">
      <c r="A41" s="820" t="s">
        <v>1687</v>
      </c>
      <c r="B41" s="820"/>
      <c r="C41" s="820"/>
      <c r="D41" s="820"/>
      <c r="E41" s="820"/>
      <c r="F41" s="820"/>
      <c r="G41" s="820"/>
      <c r="H41" s="820"/>
      <c r="I41" s="103"/>
      <c r="M41" s="821" t="s">
        <v>3046</v>
      </c>
      <c r="N41" s="821"/>
      <c r="O41" s="821"/>
      <c r="P41" s="821"/>
      <c r="Q41" s="821"/>
    </row>
    <row r="42" spans="1:17" ht="42" thickTop="1">
      <c r="A42" s="90" t="s">
        <v>1669</v>
      </c>
      <c r="B42" s="90" t="s">
        <v>1670</v>
      </c>
      <c r="C42" s="90" t="s">
        <v>1671</v>
      </c>
      <c r="D42" s="90" t="s">
        <v>1555</v>
      </c>
      <c r="E42" s="90" t="s">
        <v>1672</v>
      </c>
      <c r="F42" s="90" t="s">
        <v>1673</v>
      </c>
      <c r="G42" s="90" t="s">
        <v>1679</v>
      </c>
      <c r="H42" s="90" t="s">
        <v>1090</v>
      </c>
      <c r="I42" s="115" t="s">
        <v>1684</v>
      </c>
      <c r="M42" s="129" t="s">
        <v>1054</v>
      </c>
      <c r="N42" s="129" t="s">
        <v>2017</v>
      </c>
      <c r="O42" s="129" t="s">
        <v>3162</v>
      </c>
      <c r="P42" s="131" t="s">
        <v>3048</v>
      </c>
      <c r="Q42" s="131" t="s">
        <v>3049</v>
      </c>
    </row>
    <row r="43" spans="1:17">
      <c r="A43" s="94" t="s">
        <v>1675</v>
      </c>
      <c r="B43" s="95">
        <f>7920000-C43</f>
        <v>7761600</v>
      </c>
      <c r="C43" s="95">
        <f>7920000*0.02</f>
        <v>158400</v>
      </c>
      <c r="D43" s="95">
        <f>+C43+B43</f>
        <v>7920000</v>
      </c>
      <c r="E43" s="95">
        <v>3364419.6247899998</v>
      </c>
      <c r="F43" s="96">
        <f>+D43+E43</f>
        <v>11284419.62479</v>
      </c>
      <c r="G43" s="141">
        <v>5.3754000000000003E-2</v>
      </c>
      <c r="H43" s="95">
        <v>460612</v>
      </c>
      <c r="I43" s="98">
        <f>'SINIESTROS AÑO 2017'!L95</f>
        <v>10985049.370000001</v>
      </c>
      <c r="J43" s="99"/>
      <c r="L43" s="122"/>
      <c r="M43" s="132">
        <v>2014</v>
      </c>
      <c r="N43" s="133">
        <f>N26</f>
        <v>140392057.55000004</v>
      </c>
      <c r="O43" s="133">
        <f>F24</f>
        <v>375000</v>
      </c>
      <c r="P43" s="135">
        <f>O43/N43</f>
        <v>2.6710912749921436E-3</v>
      </c>
      <c r="Q43" s="135">
        <f>+Q26+P43</f>
        <v>5.8589230862860851E-2</v>
      </c>
    </row>
    <row r="44" spans="1:17">
      <c r="A44" s="94" t="s">
        <v>1677</v>
      </c>
      <c r="B44" s="95">
        <v>294000</v>
      </c>
      <c r="C44" s="95">
        <v>6000</v>
      </c>
      <c r="D44" s="95">
        <f>SUM(B44:C44)</f>
        <v>300000</v>
      </c>
      <c r="E44" s="95"/>
      <c r="F44" s="95">
        <v>300000</v>
      </c>
      <c r="G44" s="95"/>
      <c r="H44" s="95"/>
      <c r="I44" s="103"/>
      <c r="M44" s="136">
        <v>2015</v>
      </c>
      <c r="N44" s="137">
        <f>N27</f>
        <v>168296721.84999999</v>
      </c>
      <c r="O44" s="137">
        <f>F30</f>
        <v>405000</v>
      </c>
      <c r="P44" s="135">
        <f>O44/N44</f>
        <v>2.4064639854421504E-3</v>
      </c>
      <c r="Q44" s="135">
        <f t="shared" ref="Q44:Q53" si="5">+Q27+P44</f>
        <v>6.620935279756314E-2</v>
      </c>
    </row>
    <row r="45" spans="1:17">
      <c r="A45" s="107"/>
      <c r="B45" s="108">
        <f>SUM(B43:B44)</f>
        <v>8055600</v>
      </c>
      <c r="C45" s="108">
        <f>SUM(C43:C44)</f>
        <v>164400</v>
      </c>
      <c r="D45" s="108">
        <f>SUM(D43:D44)</f>
        <v>8220000</v>
      </c>
      <c r="E45" s="108"/>
      <c r="F45" s="108">
        <f>SUM(F43:F44)</f>
        <v>11584419.62479</v>
      </c>
      <c r="G45" s="108"/>
      <c r="H45" s="108"/>
      <c r="I45" s="109">
        <f>SUM(I43:I44)</f>
        <v>10985049.370000001</v>
      </c>
      <c r="J45" s="110"/>
      <c r="M45" s="136">
        <v>2016</v>
      </c>
      <c r="N45" s="137">
        <f t="shared" ref="N45:N51" si="6">N28</f>
        <v>185942619.64999998</v>
      </c>
      <c r="O45" s="137">
        <f>F37</f>
        <v>435000</v>
      </c>
      <c r="P45" s="135">
        <f t="shared" ref="P45:P51" si="7">O45/N45</f>
        <v>2.339431383825833E-3</v>
      </c>
      <c r="Q45" s="135">
        <f t="shared" si="5"/>
        <v>6.5878337875863086E-2</v>
      </c>
    </row>
    <row r="46" spans="1:17">
      <c r="M46" s="136">
        <v>2017</v>
      </c>
      <c r="N46" s="137">
        <f t="shared" si="6"/>
        <v>207803960.53</v>
      </c>
      <c r="O46" s="137">
        <f>F44</f>
        <v>300000</v>
      </c>
      <c r="P46" s="135">
        <f t="shared" si="7"/>
        <v>1.4436683460452621E-3</v>
      </c>
      <c r="Q46" s="135">
        <f t="shared" si="5"/>
        <v>5.5746866398716177E-2</v>
      </c>
    </row>
    <row r="47" spans="1:17">
      <c r="F47" s="82"/>
      <c r="G47" s="142"/>
      <c r="H47" s="122"/>
      <c r="M47" s="136">
        <v>2018</v>
      </c>
      <c r="N47" s="137">
        <f t="shared" si="6"/>
        <v>231425923.58999956</v>
      </c>
      <c r="O47" s="137">
        <f>F51</f>
        <v>300000</v>
      </c>
      <c r="P47" s="135">
        <f t="shared" si="7"/>
        <v>1.2963111277519979E-3</v>
      </c>
      <c r="Q47" s="135">
        <f t="shared" si="5"/>
        <v>9.3505446351654739E-2</v>
      </c>
    </row>
    <row r="48" spans="1:17" ht="18">
      <c r="A48" s="820" t="s">
        <v>1992</v>
      </c>
      <c r="B48" s="820"/>
      <c r="C48" s="820"/>
      <c r="D48" s="820"/>
      <c r="E48" s="820"/>
      <c r="F48" s="820"/>
      <c r="G48" s="820"/>
      <c r="H48" s="820"/>
      <c r="I48" s="103"/>
      <c r="M48" s="136">
        <v>2019</v>
      </c>
      <c r="N48" s="137">
        <f t="shared" si="6"/>
        <v>272010888.56907135</v>
      </c>
      <c r="O48" s="137">
        <f>F58</f>
        <v>300000</v>
      </c>
      <c r="P48" s="135">
        <f t="shared" si="7"/>
        <v>1.1028970258439542E-3</v>
      </c>
      <c r="Q48" s="135">
        <f t="shared" si="5"/>
        <v>7.9554110486029103E-2</v>
      </c>
    </row>
    <row r="49" spans="1:17" ht="28.8">
      <c r="A49" s="90" t="s">
        <v>1669</v>
      </c>
      <c r="B49" s="90" t="s">
        <v>1670</v>
      </c>
      <c r="C49" s="90" t="s">
        <v>1671</v>
      </c>
      <c r="D49" s="90" t="s">
        <v>1555</v>
      </c>
      <c r="E49" s="90" t="s">
        <v>1672</v>
      </c>
      <c r="F49" s="90" t="s">
        <v>1673</v>
      </c>
      <c r="G49" s="90" t="s">
        <v>1679</v>
      </c>
      <c r="H49" s="90" t="s">
        <v>1090</v>
      </c>
      <c r="I49" s="115" t="s">
        <v>1684</v>
      </c>
      <c r="M49" s="136">
        <v>2020</v>
      </c>
      <c r="N49" s="137">
        <f t="shared" si="6"/>
        <v>293791301.54140311</v>
      </c>
      <c r="O49" s="137">
        <f>F64</f>
        <v>346800</v>
      </c>
      <c r="P49" s="135">
        <f t="shared" si="7"/>
        <v>1.1804297750834755E-3</v>
      </c>
      <c r="Q49" s="135">
        <f t="shared" si="5"/>
        <v>8.0180429775083481E-2</v>
      </c>
    </row>
    <row r="50" spans="1:17">
      <c r="A50" s="94" t="s">
        <v>1675</v>
      </c>
      <c r="B50" s="95">
        <v>13308400</v>
      </c>
      <c r="C50" s="95">
        <f>7920000*0.02</f>
        <v>158400</v>
      </c>
      <c r="D50" s="95">
        <f>+C50+B50</f>
        <v>13466800</v>
      </c>
      <c r="E50" s="95">
        <v>7872784.2826268524</v>
      </c>
      <c r="F50" s="96">
        <f>+D50+E50</f>
        <v>21339584.282626852</v>
      </c>
      <c r="G50" s="97">
        <v>8.2600000000000007E-2</v>
      </c>
      <c r="H50" s="95">
        <v>460612</v>
      </c>
      <c r="I50" s="98">
        <f>'SINIESTROS AÑO 2018'!L165</f>
        <v>23515937.997499995</v>
      </c>
      <c r="J50" s="99"/>
      <c r="M50" s="136">
        <v>2021</v>
      </c>
      <c r="N50" s="137">
        <f t="shared" si="6"/>
        <v>302228176.98833668</v>
      </c>
      <c r="O50" s="137">
        <f>F70</f>
        <v>260100</v>
      </c>
      <c r="P50" s="135">
        <f t="shared" si="7"/>
        <v>8.6060804320716117E-4</v>
      </c>
      <c r="Q50" s="135">
        <f t="shared" si="5"/>
        <v>8.7760608043207164E-2</v>
      </c>
    </row>
    <row r="51" spans="1:17">
      <c r="A51" s="94" t="s">
        <v>1677</v>
      </c>
      <c r="B51" s="95">
        <v>313600</v>
      </c>
      <c r="C51" s="95">
        <v>6000</v>
      </c>
      <c r="D51" s="95">
        <f>SUM(B51:C51)</f>
        <v>319600</v>
      </c>
      <c r="E51" s="95"/>
      <c r="F51" s="95">
        <v>300000</v>
      </c>
      <c r="G51" s="95"/>
      <c r="H51" s="95">
        <f>H50*2</f>
        <v>921224</v>
      </c>
      <c r="I51" s="103"/>
      <c r="M51" s="136">
        <v>2022</v>
      </c>
      <c r="N51" s="137">
        <f t="shared" si="6"/>
        <v>466714933.44608998</v>
      </c>
      <c r="O51" s="137">
        <f>F76</f>
        <v>286620</v>
      </c>
      <c r="P51" s="135">
        <f t="shared" si="7"/>
        <v>6.1412219635587756E-4</v>
      </c>
      <c r="Q51" s="135">
        <f t="shared" si="5"/>
        <v>9.382519041477827E-2</v>
      </c>
    </row>
    <row r="52" spans="1:17">
      <c r="A52" s="107"/>
      <c r="B52" s="108">
        <f>SUM(B50:B51)</f>
        <v>13622000</v>
      </c>
      <c r="C52" s="108">
        <f>SUM(C50:C51)</f>
        <v>164400</v>
      </c>
      <c r="D52" s="108">
        <f>SUM(D50:D51)</f>
        <v>13786400</v>
      </c>
      <c r="E52" s="108"/>
      <c r="F52" s="108">
        <f>SUM(F50:F51)</f>
        <v>21639584.282626852</v>
      </c>
      <c r="G52" s="108"/>
      <c r="H52" s="108"/>
      <c r="I52" s="109">
        <f>SUM(I50:I51)</f>
        <v>23515937.997499995</v>
      </c>
      <c r="J52" s="110"/>
      <c r="M52" s="136">
        <v>2023</v>
      </c>
      <c r="N52" s="137">
        <f>N35</f>
        <v>428339390.36000007</v>
      </c>
      <c r="O52" s="137">
        <f>F82+7100</f>
        <v>369200</v>
      </c>
      <c r="P52" s="135">
        <f>O52/N52</f>
        <v>8.6193333676294387E-4</v>
      </c>
      <c r="Q52" s="135">
        <f t="shared" si="5"/>
        <v>6.0444465755857754E-2</v>
      </c>
    </row>
    <row r="53" spans="1:17">
      <c r="M53" s="136">
        <v>2024</v>
      </c>
      <c r="N53" s="137">
        <f>N36</f>
        <v>395726409.16000003</v>
      </c>
      <c r="O53" s="137">
        <f>(F88/12)*7</f>
        <v>228625.83333333331</v>
      </c>
      <c r="P53" s="135">
        <f>O53/N53</f>
        <v>5.7773711342296431E-4</v>
      </c>
      <c r="Q53" s="135">
        <f t="shared" si="5"/>
        <v>6.0547509633469339E-2</v>
      </c>
    </row>
    <row r="54" spans="1:17" ht="15" thickBot="1">
      <c r="B54" s="82"/>
      <c r="M54" s="136">
        <v>2025</v>
      </c>
      <c r="N54" s="137">
        <f>N37</f>
        <v>311689847.47664642</v>
      </c>
      <c r="O54" s="137">
        <f>F94</f>
        <v>368154</v>
      </c>
      <c r="P54" s="135">
        <f>O54/N54</f>
        <v>1.1811549300706184E-3</v>
      </c>
      <c r="Q54" s="135">
        <f t="shared" ref="Q54" si="8">+Q37+P54</f>
        <v>7.7401392386730217E-2</v>
      </c>
    </row>
    <row r="55" spans="1:17" ht="19.2" thickTop="1" thickBot="1">
      <c r="A55" s="820" t="s">
        <v>2061</v>
      </c>
      <c r="B55" s="820"/>
      <c r="C55" s="820"/>
      <c r="D55" s="820"/>
      <c r="E55" s="820"/>
      <c r="F55" s="820"/>
      <c r="G55" s="820"/>
      <c r="H55" s="820"/>
      <c r="I55" s="103"/>
      <c r="M55" s="138" t="s">
        <v>2016</v>
      </c>
      <c r="N55" s="139">
        <f>SUM(N43:N54)</f>
        <v>3404362230.7115474</v>
      </c>
      <c r="O55" s="139">
        <f>SUM(O43:O54)</f>
        <v>3974499.8333333335</v>
      </c>
      <c r="P55" s="140"/>
      <c r="Q55" s="140"/>
    </row>
    <row r="56" spans="1:17" ht="29.4" thickTop="1">
      <c r="A56" s="90" t="s">
        <v>1669</v>
      </c>
      <c r="B56" s="90" t="s">
        <v>1670</v>
      </c>
      <c r="C56" s="90" t="s">
        <v>1671</v>
      </c>
      <c r="D56" s="90" t="s">
        <v>1555</v>
      </c>
      <c r="E56" s="90" t="s">
        <v>1672</v>
      </c>
      <c r="F56" s="90" t="s">
        <v>1673</v>
      </c>
      <c r="G56" s="90" t="s">
        <v>1679</v>
      </c>
      <c r="H56" s="90" t="s">
        <v>1090</v>
      </c>
      <c r="I56" s="115" t="s">
        <v>1684</v>
      </c>
    </row>
    <row r="57" spans="1:17" ht="15" thickBot="1">
      <c r="A57" s="94" t="s">
        <v>1675</v>
      </c>
      <c r="B57" s="95">
        <v>10745000</v>
      </c>
      <c r="C57" s="95">
        <f>7920000*0.02</f>
        <v>158400</v>
      </c>
      <c r="D57" s="95">
        <f>+C57+B57</f>
        <v>10903400</v>
      </c>
      <c r="E57" s="95">
        <f>'SINIESTROS AÑO 2019'!L79</f>
        <v>4921198.309258</v>
      </c>
      <c r="F57" s="96">
        <f>+D57+E57</f>
        <v>15824598.309257999</v>
      </c>
      <c r="G57" s="97">
        <v>5.8799999999999998E-2</v>
      </c>
      <c r="H57" s="95">
        <v>721704</v>
      </c>
      <c r="I57" s="98">
        <f>'SINIESTROS AÑO 2019'!L73</f>
        <v>8301508.379999999</v>
      </c>
      <c r="J57" s="99"/>
      <c r="M57" s="821" t="s">
        <v>3157</v>
      </c>
      <c r="N57" s="821"/>
      <c r="O57" s="821"/>
      <c r="P57" s="821"/>
    </row>
    <row r="58" spans="1:17" ht="15" thickTop="1">
      <c r="A58" s="94" t="s">
        <v>1677</v>
      </c>
      <c r="B58" s="95">
        <v>320000</v>
      </c>
      <c r="C58" s="95">
        <v>6000</v>
      </c>
      <c r="D58" s="95">
        <f>SUM(B58:C58)</f>
        <v>326000</v>
      </c>
      <c r="E58" s="95"/>
      <c r="F58" s="95">
        <v>300000</v>
      </c>
      <c r="G58" s="95"/>
      <c r="H58" s="95">
        <f>H57*2</f>
        <v>1443408</v>
      </c>
      <c r="I58" s="103"/>
      <c r="M58" s="129" t="s">
        <v>1054</v>
      </c>
      <c r="N58" s="129" t="s">
        <v>2017</v>
      </c>
      <c r="O58" s="129" t="s">
        <v>3162</v>
      </c>
      <c r="P58" s="131" t="s">
        <v>3048</v>
      </c>
    </row>
    <row r="59" spans="1:17">
      <c r="A59" s="107"/>
      <c r="B59" s="108">
        <f>SUM(B57:B58)</f>
        <v>11065000</v>
      </c>
      <c r="C59" s="108">
        <f>SUM(C57:C58)</f>
        <v>164400</v>
      </c>
      <c r="D59" s="108">
        <f>SUM(D57:D58)</f>
        <v>11229400</v>
      </c>
      <c r="E59" s="108"/>
      <c r="F59" s="108">
        <f>SUM(F57:F58)</f>
        <v>16124598.309257999</v>
      </c>
      <c r="G59" s="108"/>
      <c r="H59" s="108"/>
      <c r="I59" s="109">
        <f>SUM(I57:I58)</f>
        <v>8301508.379999999</v>
      </c>
      <c r="J59" s="110"/>
      <c r="M59" s="132">
        <v>2014</v>
      </c>
      <c r="N59" s="133">
        <f>N43</f>
        <v>140392057.55000004</v>
      </c>
      <c r="O59" s="133">
        <f>+O43+O26</f>
        <v>8225462.6711089993</v>
      </c>
      <c r="P59" s="135">
        <f>O59/N59</f>
        <v>5.8589230862860851E-2</v>
      </c>
    </row>
    <row r="60" spans="1:17">
      <c r="M60" s="136">
        <v>2015</v>
      </c>
      <c r="N60" s="137">
        <f t="shared" ref="N60:N70" si="9">N44</f>
        <v>168296721.84999999</v>
      </c>
      <c r="O60" s="137">
        <f t="shared" ref="O60:O68" si="10">+O44+O27</f>
        <v>11142817.031640003</v>
      </c>
      <c r="P60" s="135">
        <f t="shared" ref="P60:P69" si="11">O60/N60</f>
        <v>6.620935279756314E-2</v>
      </c>
    </row>
    <row r="61" spans="1:17" ht="18">
      <c r="A61" s="820" t="s">
        <v>2296</v>
      </c>
      <c r="B61" s="820"/>
      <c r="C61" s="820"/>
      <c r="D61" s="820"/>
      <c r="E61" s="820"/>
      <c r="F61" s="820"/>
      <c r="G61" s="820"/>
      <c r="H61" s="820"/>
      <c r="I61" s="103"/>
      <c r="M61" s="136">
        <v>2016</v>
      </c>
      <c r="N61" s="137">
        <f t="shared" si="9"/>
        <v>185942619.64999998</v>
      </c>
      <c r="O61" s="137">
        <f t="shared" si="10"/>
        <v>12249590.722825797</v>
      </c>
      <c r="P61" s="135">
        <f t="shared" si="11"/>
        <v>6.5878337875863086E-2</v>
      </c>
    </row>
    <row r="62" spans="1:17" ht="28.8">
      <c r="A62" s="90" t="s">
        <v>1669</v>
      </c>
      <c r="B62" s="90" t="s">
        <v>1670</v>
      </c>
      <c r="C62" s="90" t="s">
        <v>1671</v>
      </c>
      <c r="D62" s="90" t="s">
        <v>1555</v>
      </c>
      <c r="E62" s="90" t="s">
        <v>1672</v>
      </c>
      <c r="F62" s="90" t="s">
        <v>1673</v>
      </c>
      <c r="G62" s="90" t="s">
        <v>1674</v>
      </c>
      <c r="H62" s="90" t="s">
        <v>1090</v>
      </c>
      <c r="I62" s="115" t="s">
        <v>1684</v>
      </c>
      <c r="M62" s="136">
        <v>2017</v>
      </c>
      <c r="N62" s="137">
        <f t="shared" si="9"/>
        <v>207803960.53</v>
      </c>
      <c r="O62" s="137">
        <f t="shared" si="10"/>
        <v>11584419.62479</v>
      </c>
      <c r="P62" s="135">
        <f t="shared" si="11"/>
        <v>5.5746866398716177E-2</v>
      </c>
    </row>
    <row r="63" spans="1:17">
      <c r="A63" s="94" t="s">
        <v>1675</v>
      </c>
      <c r="B63" s="95">
        <v>7045000</v>
      </c>
      <c r="C63" s="95">
        <f>B63*2%</f>
        <v>140900</v>
      </c>
      <c r="D63" s="95">
        <f>+C63+B63</f>
        <v>7185900</v>
      </c>
      <c r="E63" s="95">
        <f>'SINIESTROS 2020'!L171</f>
        <v>16037335.219999999</v>
      </c>
      <c r="F63" s="96">
        <f>+D63+E63</f>
        <v>23223235.219999999</v>
      </c>
      <c r="G63" s="97" t="s">
        <v>2297</v>
      </c>
      <c r="H63" s="95">
        <v>721704</v>
      </c>
      <c r="I63" s="98">
        <f>'SINIESTROS 2020'!L164</f>
        <v>26002519.599999998</v>
      </c>
      <c r="J63" s="99"/>
      <c r="M63" s="136">
        <v>2018</v>
      </c>
      <c r="N63" s="137">
        <f t="shared" si="9"/>
        <v>231425923.58999956</v>
      </c>
      <c r="O63" s="137">
        <f t="shared" si="10"/>
        <v>21639584.282626852</v>
      </c>
      <c r="P63" s="135">
        <f t="shared" si="11"/>
        <v>9.3505446351654739E-2</v>
      </c>
    </row>
    <row r="64" spans="1:17">
      <c r="A64" s="94" t="s">
        <v>1677</v>
      </c>
      <c r="B64" s="95">
        <v>340000</v>
      </c>
      <c r="C64" s="95">
        <f>B64*2%</f>
        <v>6800</v>
      </c>
      <c r="D64" s="95">
        <f>SUM(B64:C64)</f>
        <v>346800</v>
      </c>
      <c r="E64" s="95"/>
      <c r="F64" s="143">
        <f>+D64+E64</f>
        <v>346800</v>
      </c>
      <c r="G64" s="95"/>
      <c r="H64" s="95">
        <f>H63*2</f>
        <v>1443408</v>
      </c>
      <c r="I64" s="103"/>
      <c r="M64" s="136">
        <v>2019</v>
      </c>
      <c r="N64" s="137">
        <f t="shared" si="9"/>
        <v>272010888.56907135</v>
      </c>
      <c r="O64" s="137">
        <f t="shared" si="10"/>
        <v>21639584.282626852</v>
      </c>
      <c r="P64" s="135">
        <f t="shared" si="11"/>
        <v>7.9554110486029103E-2</v>
      </c>
    </row>
    <row r="65" spans="1:16">
      <c r="A65" s="107"/>
      <c r="B65" s="108">
        <f>SUM(B63:B64)</f>
        <v>7385000</v>
      </c>
      <c r="C65" s="108">
        <f>SUM(C63:C64)</f>
        <v>147700</v>
      </c>
      <c r="D65" s="108">
        <f>SUM(D63:D64)</f>
        <v>7532700</v>
      </c>
      <c r="E65" s="108"/>
      <c r="F65" s="108">
        <f>SUM(F63:F64)</f>
        <v>23570035.219999999</v>
      </c>
      <c r="G65" s="108"/>
      <c r="H65" s="108"/>
      <c r="I65" s="109">
        <f>SUM(I63:I64)</f>
        <v>26002519.599999998</v>
      </c>
      <c r="J65" s="110"/>
      <c r="M65" s="136">
        <v>2020</v>
      </c>
      <c r="N65" s="137">
        <f t="shared" si="9"/>
        <v>293791301.54140311</v>
      </c>
      <c r="O65" s="137">
        <f t="shared" si="10"/>
        <v>23556312.821770847</v>
      </c>
      <c r="P65" s="135">
        <f t="shared" si="11"/>
        <v>8.0180429775083481E-2</v>
      </c>
    </row>
    <row r="66" spans="1:16">
      <c r="M66" s="136">
        <v>2021</v>
      </c>
      <c r="N66" s="137">
        <f t="shared" si="9"/>
        <v>302228176.98833668</v>
      </c>
      <c r="O66" s="137">
        <f t="shared" si="10"/>
        <v>26523728.580286458</v>
      </c>
      <c r="P66" s="135">
        <f t="shared" si="11"/>
        <v>8.7760608043207164E-2</v>
      </c>
    </row>
    <row r="67" spans="1:16" ht="18">
      <c r="A67" s="820" t="s">
        <v>2739</v>
      </c>
      <c r="B67" s="820"/>
      <c r="C67" s="820"/>
      <c r="D67" s="820"/>
      <c r="E67" s="820"/>
      <c r="F67" s="820"/>
      <c r="G67" s="820"/>
      <c r="H67" s="820"/>
      <c r="I67" s="103"/>
      <c r="M67" s="136">
        <v>2022</v>
      </c>
      <c r="N67" s="137">
        <f t="shared" si="9"/>
        <v>466714933.44608998</v>
      </c>
      <c r="O67" s="137">
        <f t="shared" si="10"/>
        <v>43789617.499999963</v>
      </c>
      <c r="P67" s="135">
        <f t="shared" si="11"/>
        <v>9.382519041477827E-2</v>
      </c>
    </row>
    <row r="68" spans="1:16" ht="28.8">
      <c r="A68" s="90" t="s">
        <v>1669</v>
      </c>
      <c r="B68" s="90" t="s">
        <v>1670</v>
      </c>
      <c r="C68" s="90" t="s">
        <v>1671</v>
      </c>
      <c r="D68" s="90" t="s">
        <v>1555</v>
      </c>
      <c r="E68" s="90" t="s">
        <v>1672</v>
      </c>
      <c r="F68" s="90" t="s">
        <v>1673</v>
      </c>
      <c r="G68" s="90" t="s">
        <v>1674</v>
      </c>
      <c r="H68" s="90" t="s">
        <v>1090</v>
      </c>
      <c r="I68" s="115" t="s">
        <v>1684</v>
      </c>
      <c r="M68" s="136">
        <v>2023</v>
      </c>
      <c r="N68" s="137">
        <f t="shared" si="9"/>
        <v>428339390.36000007</v>
      </c>
      <c r="O68" s="137">
        <f t="shared" si="10"/>
        <v>25890745.612500012</v>
      </c>
      <c r="P68" s="135">
        <f t="shared" si="11"/>
        <v>6.0444465755857754E-2</v>
      </c>
    </row>
    <row r="69" spans="1:16">
      <c r="A69" s="94" t="s">
        <v>1675</v>
      </c>
      <c r="B69" s="95">
        <v>7253000</v>
      </c>
      <c r="C69" s="95">
        <f>B69*2%</f>
        <v>145060</v>
      </c>
      <c r="D69" s="95">
        <f>+C69+B69</f>
        <v>7398060</v>
      </c>
      <c r="E69" s="95">
        <f>'SINIESTROS 2021'!K113</f>
        <v>23544086.27</v>
      </c>
      <c r="F69" s="96">
        <f>+D69+E69</f>
        <v>30942146.27</v>
      </c>
      <c r="G69" s="97" t="s">
        <v>2741</v>
      </c>
      <c r="H69" s="95">
        <v>721704</v>
      </c>
      <c r="I69" s="98">
        <f>'SINIESTROS 2021'!L101</f>
        <v>30934977.90000001</v>
      </c>
      <c r="M69" s="136">
        <v>2024</v>
      </c>
      <c r="N69" s="137">
        <f t="shared" si="9"/>
        <v>395726409.16000003</v>
      </c>
      <c r="O69" s="137">
        <f>+O53+O36</f>
        <v>23960248.570833329</v>
      </c>
      <c r="P69" s="135">
        <f t="shared" si="11"/>
        <v>6.0547509633469332E-2</v>
      </c>
    </row>
    <row r="70" spans="1:16" ht="15" thickBot="1">
      <c r="A70" s="94" t="s">
        <v>1677</v>
      </c>
      <c r="B70" s="95">
        <v>255000</v>
      </c>
      <c r="C70" s="95">
        <f>B70*2%</f>
        <v>5100</v>
      </c>
      <c r="D70" s="95">
        <f>SUM(B70:C70)</f>
        <v>260100</v>
      </c>
      <c r="E70" s="95"/>
      <c r="F70" s="143">
        <f>+D70+E70</f>
        <v>260100</v>
      </c>
      <c r="G70" s="95"/>
      <c r="H70" s="95">
        <f>H69*2</f>
        <v>1443408</v>
      </c>
      <c r="I70" s="103"/>
      <c r="M70" s="136">
        <v>2025</v>
      </c>
      <c r="N70" s="137">
        <f t="shared" si="9"/>
        <v>311689847.47664642</v>
      </c>
      <c r="O70" s="137">
        <f>+O37+O54</f>
        <v>24125228.1875</v>
      </c>
      <c r="P70" s="135">
        <f t="shared" ref="P70" si="12">O70/N70</f>
        <v>7.7401392386730203E-2</v>
      </c>
    </row>
    <row r="71" spans="1:16" ht="15.6" thickTop="1" thickBot="1">
      <c r="A71" s="107"/>
      <c r="B71" s="108">
        <f>SUM(B69:B70)</f>
        <v>7508000</v>
      </c>
      <c r="C71" s="108">
        <f>SUM(C69:C70)</f>
        <v>150160</v>
      </c>
      <c r="D71" s="108">
        <f>SUM(D69:D70)</f>
        <v>7658160</v>
      </c>
      <c r="E71" s="108"/>
      <c r="F71" s="108">
        <f>SUM(F69:F70)</f>
        <v>31202246.27</v>
      </c>
      <c r="G71" s="108"/>
      <c r="H71" s="108"/>
      <c r="I71" s="109">
        <f>SUM(I69:I70)</f>
        <v>30934977.90000001</v>
      </c>
      <c r="M71" s="138" t="s">
        <v>2016</v>
      </c>
      <c r="N71" s="139">
        <f>SUM(N59:N70)</f>
        <v>3404362230.7115474</v>
      </c>
      <c r="O71" s="139">
        <f>SUM(O59:O70)</f>
        <v>254327339.88850912</v>
      </c>
      <c r="P71" s="144">
        <f>O71/N71</f>
        <v>7.4706309920302472E-2</v>
      </c>
    </row>
    <row r="72" spans="1:16" ht="15" thickTop="1"/>
    <row r="73" spans="1:16" ht="18">
      <c r="A73" s="820" t="s">
        <v>2740</v>
      </c>
      <c r="B73" s="820"/>
      <c r="C73" s="820"/>
      <c r="D73" s="820"/>
      <c r="E73" s="820"/>
      <c r="F73" s="820"/>
      <c r="G73" s="820"/>
      <c r="H73" s="820"/>
      <c r="I73" s="820"/>
    </row>
    <row r="74" spans="1:16" ht="28.8">
      <c r="A74" s="90" t="s">
        <v>1669</v>
      </c>
      <c r="B74" s="90" t="s">
        <v>1670</v>
      </c>
      <c r="C74" s="90" t="s">
        <v>1671</v>
      </c>
      <c r="D74" s="90" t="s">
        <v>1555</v>
      </c>
      <c r="E74" s="90" t="s">
        <v>1672</v>
      </c>
      <c r="F74" s="90" t="s">
        <v>1673</v>
      </c>
      <c r="G74" s="90" t="s">
        <v>1674</v>
      </c>
      <c r="H74" s="90" t="s">
        <v>1090</v>
      </c>
      <c r="I74" s="115" t="s">
        <v>1684</v>
      </c>
    </row>
    <row r="75" spans="1:16">
      <c r="A75" s="94" t="s">
        <v>1675</v>
      </c>
      <c r="B75" s="95">
        <v>18670000</v>
      </c>
      <c r="C75" s="95">
        <v>280050</v>
      </c>
      <c r="D75" s="95">
        <f>+C75+B75</f>
        <v>18950050</v>
      </c>
      <c r="E75" s="95">
        <f>'SINIESTROS 2022'!K181</f>
        <v>24552947.499999963</v>
      </c>
      <c r="F75" s="96">
        <f>+D75+E75</f>
        <v>43502997.499999963</v>
      </c>
      <c r="G75" s="97" t="s">
        <v>2742</v>
      </c>
      <c r="H75" s="95">
        <v>721704</v>
      </c>
      <c r="I75" s="98">
        <f>'SINIESTROS 2022'!L174</f>
        <v>33888499.199999996</v>
      </c>
    </row>
    <row r="76" spans="1:16">
      <c r="A76" s="94" t="s">
        <v>1677</v>
      </c>
      <c r="B76" s="95">
        <v>281000</v>
      </c>
      <c r="C76" s="95">
        <f>B76*2%</f>
        <v>5620</v>
      </c>
      <c r="D76" s="95">
        <f>SUM(B76:C76)</f>
        <v>286620</v>
      </c>
      <c r="E76" s="95"/>
      <c r="F76" s="143">
        <f>+D76+E76</f>
        <v>286620</v>
      </c>
      <c r="G76" s="95"/>
      <c r="H76" s="95">
        <f>H75*2</f>
        <v>1443408</v>
      </c>
      <c r="I76" s="103"/>
    </row>
    <row r="77" spans="1:16">
      <c r="A77" s="107"/>
      <c r="B77" s="108">
        <f>SUM(B75:B76)</f>
        <v>18951000</v>
      </c>
      <c r="C77" s="108">
        <f>SUM(C75:C76)</f>
        <v>285670</v>
      </c>
      <c r="D77" s="108">
        <f>SUM(D75:D76)</f>
        <v>19236670</v>
      </c>
      <c r="E77" s="108"/>
      <c r="F77" s="108">
        <f>SUM(F75:F76)</f>
        <v>43789617.499999963</v>
      </c>
      <c r="G77" s="108"/>
      <c r="H77" s="108"/>
      <c r="I77" s="109">
        <f>SUM(I75:I76)</f>
        <v>33888499.199999996</v>
      </c>
    </row>
    <row r="79" spans="1:16" ht="18">
      <c r="A79" s="820" t="s">
        <v>2793</v>
      </c>
      <c r="B79" s="820"/>
      <c r="C79" s="820"/>
      <c r="D79" s="820"/>
      <c r="E79" s="820"/>
      <c r="F79" s="820"/>
      <c r="G79" s="820"/>
      <c r="H79" s="820"/>
      <c r="I79" s="820"/>
    </row>
    <row r="80" spans="1:16" ht="28.8">
      <c r="A80" s="90" t="s">
        <v>1669</v>
      </c>
      <c r="B80" s="90" t="s">
        <v>1670</v>
      </c>
      <c r="C80" s="90" t="s">
        <v>1671</v>
      </c>
      <c r="D80" s="90" t="s">
        <v>1555</v>
      </c>
      <c r="E80" s="90" t="s">
        <v>1672</v>
      </c>
      <c r="F80" s="90" t="s">
        <v>1673</v>
      </c>
      <c r="G80" s="90" t="s">
        <v>1674</v>
      </c>
      <c r="H80" s="90" t="s">
        <v>1090</v>
      </c>
      <c r="I80" s="115" t="s">
        <v>1684</v>
      </c>
    </row>
    <row r="81" spans="1:9">
      <c r="A81" s="94" t="s">
        <v>1675</v>
      </c>
      <c r="B81" s="95">
        <v>13000000</v>
      </c>
      <c r="C81" s="95">
        <f>B81*2%</f>
        <v>260000</v>
      </c>
      <c r="D81" s="95">
        <f>+C81+B81</f>
        <v>13260000</v>
      </c>
      <c r="E81" s="95">
        <f>'SINIESTROS 2023'!K118</f>
        <v>12261545.612500012</v>
      </c>
      <c r="F81" s="96">
        <f>+D81+E81</f>
        <v>25521545.612500012</v>
      </c>
      <c r="G81" s="97" t="s">
        <v>2794</v>
      </c>
      <c r="H81" s="95">
        <v>721704</v>
      </c>
      <c r="I81" s="98">
        <f>'SINIESTROS 2023'!L112</f>
        <v>21664771.629999995</v>
      </c>
    </row>
    <row r="82" spans="1:9">
      <c r="A82" s="94" t="s">
        <v>1677</v>
      </c>
      <c r="B82" s="95">
        <v>355000</v>
      </c>
      <c r="C82" s="95">
        <f>B82*2%</f>
        <v>7100</v>
      </c>
      <c r="D82" s="95">
        <f>SUM(B82:C82)</f>
        <v>362100</v>
      </c>
      <c r="E82" s="95"/>
      <c r="F82" s="143">
        <f>+D82+E82</f>
        <v>362100</v>
      </c>
      <c r="G82" s="95"/>
      <c r="H82" s="95">
        <f>H81*2</f>
        <v>1443408</v>
      </c>
      <c r="I82" s="103"/>
    </row>
    <row r="83" spans="1:9">
      <c r="A83" s="107"/>
      <c r="B83" s="108">
        <f>SUM(B81:B82)</f>
        <v>13355000</v>
      </c>
      <c r="C83" s="108">
        <f>SUM(C81:C82)</f>
        <v>267100</v>
      </c>
      <c r="D83" s="108">
        <f>SUM(D81:D82)</f>
        <v>13622100</v>
      </c>
      <c r="E83" s="108"/>
      <c r="F83" s="108">
        <f>SUM(F81:F82)</f>
        <v>25883645.612500012</v>
      </c>
      <c r="G83" s="108"/>
      <c r="H83" s="108"/>
      <c r="I83" s="109">
        <f>SUM(I81:I82)</f>
        <v>21664771.629999995</v>
      </c>
    </row>
    <row r="85" spans="1:9" ht="18">
      <c r="A85" s="820" t="s">
        <v>3112</v>
      </c>
      <c r="B85" s="820"/>
      <c r="C85" s="820"/>
      <c r="D85" s="820"/>
      <c r="E85" s="820"/>
      <c r="F85" s="820"/>
      <c r="G85" s="820"/>
      <c r="H85" s="820"/>
      <c r="I85" s="820"/>
    </row>
    <row r="86" spans="1:9" ht="28.8">
      <c r="A86" s="90" t="s">
        <v>1669</v>
      </c>
      <c r="B86" s="90" t="s">
        <v>1670</v>
      </c>
      <c r="C86" s="90" t="s">
        <v>1671</v>
      </c>
      <c r="D86" s="90" t="s">
        <v>1555</v>
      </c>
      <c r="E86" s="90" t="s">
        <v>1672</v>
      </c>
      <c r="F86" s="90" t="s">
        <v>1673</v>
      </c>
      <c r="G86" s="90" t="s">
        <v>1674</v>
      </c>
      <c r="H86" s="90" t="s">
        <v>1090</v>
      </c>
      <c r="I86" s="115" t="s">
        <v>1684</v>
      </c>
    </row>
    <row r="87" spans="1:9">
      <c r="A87" s="94" t="s">
        <v>1675</v>
      </c>
      <c r="B87" s="95">
        <v>13000000</v>
      </c>
      <c r="C87" s="95">
        <f>B87*1.8%</f>
        <v>234000.00000000003</v>
      </c>
      <c r="D87" s="95">
        <f>+C87+B87</f>
        <v>13234000</v>
      </c>
      <c r="E87" s="95">
        <f>'SINIESTROS 2024'!K146</f>
        <v>10497622.737499997</v>
      </c>
      <c r="F87" s="96">
        <f>+D87+E87</f>
        <v>23731622.737499997</v>
      </c>
      <c r="G87" s="97" t="s">
        <v>2794</v>
      </c>
      <c r="H87" s="95">
        <v>721704</v>
      </c>
      <c r="I87" s="98">
        <f>'SINIESTROS 2024'!L141</f>
        <v>35441446.039999992</v>
      </c>
    </row>
    <row r="88" spans="1:9">
      <c r="A88" s="94" t="s">
        <v>1677</v>
      </c>
      <c r="B88" s="95">
        <v>385000</v>
      </c>
      <c r="C88" s="95">
        <f>B88*1.8%</f>
        <v>6930.0000000000009</v>
      </c>
      <c r="D88" s="95">
        <f>SUM(B88:C88)</f>
        <v>391930</v>
      </c>
      <c r="E88" s="95"/>
      <c r="F88" s="95">
        <f>SUM(D88:E88)</f>
        <v>391930</v>
      </c>
      <c r="G88" s="95"/>
      <c r="H88" s="95">
        <f>H87*2</f>
        <v>1443408</v>
      </c>
      <c r="I88" s="103">
        <v>0</v>
      </c>
    </row>
    <row r="89" spans="1:9">
      <c r="A89" s="107"/>
      <c r="B89" s="108">
        <f>SUM(B87:B88)</f>
        <v>13385000</v>
      </c>
      <c r="C89" s="108">
        <f>SUM(C87:C88)</f>
        <v>240930.00000000003</v>
      </c>
      <c r="D89" s="108">
        <f>SUM(D87:D88)</f>
        <v>13625930</v>
      </c>
      <c r="E89" s="108"/>
      <c r="F89" s="108">
        <f>SUM(F87:F88)</f>
        <v>24123552.737499997</v>
      </c>
      <c r="G89" s="108"/>
      <c r="H89" s="108"/>
      <c r="I89" s="109">
        <f>SUM(I87:I88)</f>
        <v>35441446.039999992</v>
      </c>
    </row>
    <row r="91" spans="1:9" ht="18">
      <c r="A91" s="820" t="s">
        <v>3473</v>
      </c>
      <c r="B91" s="820"/>
      <c r="C91" s="820"/>
      <c r="D91" s="820"/>
      <c r="E91" s="820"/>
      <c r="F91" s="820"/>
      <c r="G91" s="820"/>
      <c r="H91" s="820"/>
      <c r="I91" s="820"/>
    </row>
    <row r="92" spans="1:9" ht="28.8">
      <c r="A92" s="90" t="s">
        <v>1669</v>
      </c>
      <c r="B92" s="90" t="s">
        <v>1670</v>
      </c>
      <c r="C92" s="90" t="s">
        <v>1671</v>
      </c>
      <c r="D92" s="90" t="s">
        <v>1555</v>
      </c>
      <c r="E92" s="90" t="s">
        <v>1672</v>
      </c>
      <c r="F92" s="90" t="s">
        <v>1673</v>
      </c>
      <c r="G92" s="90" t="s">
        <v>1674</v>
      </c>
      <c r="H92" s="90" t="s">
        <v>1090</v>
      </c>
      <c r="I92" s="115" t="s">
        <v>1684</v>
      </c>
    </row>
    <row r="93" spans="1:9">
      <c r="A93" s="94" t="s">
        <v>1675</v>
      </c>
      <c r="B93" s="95">
        <v>12100000</v>
      </c>
      <c r="C93" s="95">
        <f>B93*1.7%</f>
        <v>205700.00000000003</v>
      </c>
      <c r="D93" s="95">
        <f>+C93+B93</f>
        <v>12305700</v>
      </c>
      <c r="E93" s="95">
        <v>11451374.1875</v>
      </c>
      <c r="F93" s="96">
        <f>+D93+E93</f>
        <v>23757074.1875</v>
      </c>
      <c r="G93" s="97" t="s">
        <v>2794</v>
      </c>
      <c r="H93" s="95">
        <v>721704</v>
      </c>
      <c r="I93" s="98">
        <f>'SINIESTROS 2025'!L89</f>
        <v>22814087.23</v>
      </c>
    </row>
    <row r="94" spans="1:9">
      <c r="A94" s="94" t="s">
        <v>1677</v>
      </c>
      <c r="B94" s="95">
        <v>362000</v>
      </c>
      <c r="C94" s="95">
        <f>B94*1.7%</f>
        <v>6154</v>
      </c>
      <c r="D94" s="95">
        <f>SUM(B94:C94)</f>
        <v>368154</v>
      </c>
      <c r="E94" s="95"/>
      <c r="F94" s="95">
        <f>SUM(D94:E94)</f>
        <v>368154</v>
      </c>
      <c r="G94" s="95"/>
      <c r="H94" s="95">
        <f>H93*2</f>
        <v>1443408</v>
      </c>
      <c r="I94" s="103">
        <v>0</v>
      </c>
    </row>
    <row r="95" spans="1:9">
      <c r="A95" s="107"/>
      <c r="B95" s="108">
        <f>SUM(B93:B94)</f>
        <v>12462000</v>
      </c>
      <c r="C95" s="108">
        <f>SUM(C93:C94)</f>
        <v>211854.00000000003</v>
      </c>
      <c r="D95" s="108">
        <f>SUM(D93:D94)</f>
        <v>12673854</v>
      </c>
      <c r="E95" s="108"/>
      <c r="F95" s="108">
        <f>SUM(F93:F94)</f>
        <v>24125228.1875</v>
      </c>
      <c r="G95" s="108"/>
      <c r="H95" s="108"/>
      <c r="I95" s="109">
        <f>SUM(I93:I94)</f>
        <v>22814087.23</v>
      </c>
    </row>
    <row r="98" spans="1:9" ht="18">
      <c r="A98" s="820" t="s">
        <v>3474</v>
      </c>
      <c r="B98" s="820"/>
      <c r="C98" s="820"/>
      <c r="D98" s="820"/>
      <c r="E98" s="820"/>
      <c r="F98" s="820"/>
      <c r="G98" s="820"/>
      <c r="H98" s="820"/>
      <c r="I98" s="820"/>
    </row>
    <row r="99" spans="1:9" ht="28.8">
      <c r="A99" s="90" t="s">
        <v>1669</v>
      </c>
      <c r="B99" s="90" t="s">
        <v>1670</v>
      </c>
      <c r="C99" s="90" t="s">
        <v>1671</v>
      </c>
      <c r="D99" s="90" t="s">
        <v>1555</v>
      </c>
      <c r="E99" s="90" t="s">
        <v>1672</v>
      </c>
      <c r="F99" s="90" t="s">
        <v>1673</v>
      </c>
      <c r="G99" s="90" t="s">
        <v>1674</v>
      </c>
      <c r="H99" s="90" t="s">
        <v>1090</v>
      </c>
      <c r="I99" s="115" t="s">
        <v>1684</v>
      </c>
    </row>
    <row r="100" spans="1:9">
      <c r="A100" s="94" t="s">
        <v>1675</v>
      </c>
      <c r="B100" s="95">
        <v>11300000</v>
      </c>
      <c r="C100" s="95">
        <f>B100*1.7%</f>
        <v>192100</v>
      </c>
      <c r="D100" s="95">
        <f>+C100+B100</f>
        <v>11492100</v>
      </c>
      <c r="E100" s="95"/>
      <c r="F100" s="96">
        <f>+D100+E100</f>
        <v>11492100</v>
      </c>
      <c r="G100" s="97"/>
      <c r="H100" s="95">
        <v>721704</v>
      </c>
      <c r="I100" s="98">
        <f>'SINIESTROS 2024'!L154</f>
        <v>0</v>
      </c>
    </row>
    <row r="101" spans="1:9">
      <c r="A101" s="94" t="s">
        <v>1677</v>
      </c>
      <c r="B101" s="95">
        <v>362620</v>
      </c>
      <c r="C101" s="95">
        <f>B101*1.7%</f>
        <v>6164.5400000000009</v>
      </c>
      <c r="D101" s="95">
        <f>SUM(B101:C101)</f>
        <v>368784.54</v>
      </c>
      <c r="E101" s="95"/>
      <c r="F101" s="95">
        <f>SUM(D101:E101)</f>
        <v>368784.54</v>
      </c>
      <c r="G101" s="95"/>
      <c r="H101" s="95">
        <f>H100*2</f>
        <v>1443408</v>
      </c>
      <c r="I101" s="103">
        <v>0</v>
      </c>
    </row>
    <row r="102" spans="1:9">
      <c r="A102" s="107"/>
      <c r="B102" s="108">
        <f>SUM(B100:B101)</f>
        <v>11662620</v>
      </c>
      <c r="C102" s="108">
        <f>SUM(C100:C101)</f>
        <v>198264.54</v>
      </c>
      <c r="D102" s="108">
        <f>SUM(D100:D101)</f>
        <v>11860884.539999999</v>
      </c>
      <c r="E102" s="108"/>
      <c r="F102" s="108">
        <f>SUM(F100:F101)</f>
        <v>11860884.539999999</v>
      </c>
      <c r="G102" s="108"/>
      <c r="H102" s="108"/>
      <c r="I102" s="109">
        <f>SUM(I100:I101)</f>
        <v>0</v>
      </c>
    </row>
    <row r="104" spans="1:9">
      <c r="D104" s="249" t="s">
        <v>3478</v>
      </c>
    </row>
    <row r="105" spans="1:9">
      <c r="B105" s="122">
        <f>+B100-B93</f>
        <v>-800000</v>
      </c>
      <c r="D105" s="82">
        <v>89000000</v>
      </c>
    </row>
    <row r="106" spans="1:9">
      <c r="B106" s="122">
        <f>+B101-B94</f>
        <v>620</v>
      </c>
    </row>
    <row r="107" spans="1:9">
      <c r="B107" s="122">
        <f>SUM(B105:B106)</f>
        <v>-799380</v>
      </c>
      <c r="C107" s="82"/>
    </row>
  </sheetData>
  <mergeCells count="20">
    <mergeCell ref="A91:I91"/>
    <mergeCell ref="A98:I98"/>
    <mergeCell ref="A34:H34"/>
    <mergeCell ref="A73:I73"/>
    <mergeCell ref="M2:P2"/>
    <mergeCell ref="M24:Q24"/>
    <mergeCell ref="A3:H3"/>
    <mergeCell ref="A9:H9"/>
    <mergeCell ref="A15:H15"/>
    <mergeCell ref="A21:H21"/>
    <mergeCell ref="A27:H27"/>
    <mergeCell ref="M57:P57"/>
    <mergeCell ref="A85:I85"/>
    <mergeCell ref="M41:Q41"/>
    <mergeCell ref="A79:I79"/>
    <mergeCell ref="A67:H67"/>
    <mergeCell ref="A61:H61"/>
    <mergeCell ref="A55:H55"/>
    <mergeCell ref="A48:H48"/>
    <mergeCell ref="A41:H41"/>
  </mergeCells>
  <pageMargins left="0.7" right="0.7" top="0.75" bottom="0.75" header="0.3" footer="0.3"/>
  <pageSetup scale="17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R19"/>
  <sheetViews>
    <sheetView showGridLines="0" workbookViewId="0">
      <selection activeCell="A16" sqref="A16"/>
    </sheetView>
  </sheetViews>
  <sheetFormatPr baseColWidth="10" defaultColWidth="11.44140625" defaultRowHeight="14.4"/>
  <cols>
    <col min="1" max="1" width="26.109375" style="72" bestFit="1" customWidth="1"/>
    <col min="2" max="2" width="13.77734375" style="72" bestFit="1" customWidth="1"/>
    <col min="3" max="3" width="13.88671875" style="72" bestFit="1" customWidth="1"/>
    <col min="4" max="8" width="13.77734375" style="72" bestFit="1" customWidth="1"/>
    <col min="9" max="10" width="11.44140625" style="72"/>
    <col min="11" max="11" width="19.6640625" style="72" bestFit="1" customWidth="1"/>
    <col min="12" max="12" width="19.44140625" style="72" customWidth="1"/>
    <col min="13" max="13" width="18.33203125" style="72" customWidth="1"/>
    <col min="14" max="15" width="11.44140625" style="72"/>
    <col min="16" max="16" width="16.44140625" style="72" bestFit="1" customWidth="1"/>
    <col min="17" max="18" width="15.33203125" style="72" bestFit="1" customWidth="1"/>
    <col min="19" max="16384" width="11.44140625" style="72"/>
  </cols>
  <sheetData>
    <row r="2" spans="1:18" ht="15" thickBot="1"/>
    <row r="3" spans="1:18" ht="15.6" thickTop="1" thickBot="1">
      <c r="L3" s="73" t="s">
        <v>2235</v>
      </c>
      <c r="M3" s="73" t="s">
        <v>2236</v>
      </c>
    </row>
    <row r="4" spans="1:18" ht="15.6" thickTop="1" thickBot="1">
      <c r="A4" s="74" t="s">
        <v>2223</v>
      </c>
      <c r="B4" s="74">
        <v>2019</v>
      </c>
      <c r="C4" s="74">
        <v>2020</v>
      </c>
      <c r="D4" s="74">
        <v>2021</v>
      </c>
      <c r="E4" s="74">
        <v>2022</v>
      </c>
      <c r="F4" s="74">
        <v>2023</v>
      </c>
      <c r="G4" s="74">
        <v>2024</v>
      </c>
      <c r="H4" s="74">
        <v>2025</v>
      </c>
      <c r="K4" s="73" t="s">
        <v>1675</v>
      </c>
      <c r="L4" s="73" t="s">
        <v>2230</v>
      </c>
      <c r="M4" s="73" t="s">
        <v>2230</v>
      </c>
    </row>
    <row r="5" spans="1:18" ht="15.6" thickTop="1" thickBot="1">
      <c r="A5" s="75" t="s">
        <v>2224</v>
      </c>
      <c r="B5" s="76">
        <v>14000000</v>
      </c>
      <c r="C5" s="76">
        <v>14000000</v>
      </c>
      <c r="D5" s="76">
        <f>C5</f>
        <v>14000000</v>
      </c>
      <c r="E5" s="76">
        <f>D5</f>
        <v>14000000</v>
      </c>
      <c r="F5" s="76">
        <v>16000000</v>
      </c>
      <c r="G5" s="76">
        <v>18000000</v>
      </c>
      <c r="H5" s="88">
        <v>18000000</v>
      </c>
      <c r="K5" s="77" t="s">
        <v>19</v>
      </c>
      <c r="L5" s="78">
        <v>721704</v>
      </c>
      <c r="M5" s="78">
        <v>721704</v>
      </c>
    </row>
    <row r="6" spans="1:18" ht="15.6" thickTop="1" thickBot="1">
      <c r="A6" s="75" t="s">
        <v>2225</v>
      </c>
      <c r="B6" s="76">
        <v>7500000</v>
      </c>
      <c r="C6" s="76">
        <v>7500000</v>
      </c>
      <c r="D6" s="76">
        <v>10000000</v>
      </c>
      <c r="E6" s="76">
        <v>10000000</v>
      </c>
      <c r="F6" s="76">
        <v>12000000</v>
      </c>
      <c r="G6" s="76">
        <v>14000000</v>
      </c>
      <c r="H6" s="88">
        <v>14000000</v>
      </c>
      <c r="K6" s="77" t="s">
        <v>2231</v>
      </c>
      <c r="L6" s="79">
        <v>6.9500000000000006E-2</v>
      </c>
      <c r="M6" s="79">
        <v>6.5000000000000002E-2</v>
      </c>
    </row>
    <row r="7" spans="1:18" ht="15.6" thickTop="1" thickBot="1">
      <c r="A7" s="75" t="s">
        <v>748</v>
      </c>
      <c r="B7" s="76">
        <v>5000000</v>
      </c>
      <c r="C7" s="76">
        <v>5000000</v>
      </c>
      <c r="D7" s="76">
        <v>5000000</v>
      </c>
      <c r="E7" s="76">
        <v>5000000</v>
      </c>
      <c r="F7" s="76">
        <v>7000000</v>
      </c>
      <c r="G7" s="76">
        <v>7000000</v>
      </c>
      <c r="H7" s="88">
        <v>7000000</v>
      </c>
      <c r="K7" s="77" t="s">
        <v>1670</v>
      </c>
      <c r="L7" s="80">
        <v>15306000</v>
      </c>
      <c r="M7" s="80">
        <f>R11</f>
        <v>14322325.950143401</v>
      </c>
    </row>
    <row r="8" spans="1:18" ht="15.6" thickTop="1" thickBot="1">
      <c r="A8" s="75" t="s">
        <v>737</v>
      </c>
      <c r="B8" s="76">
        <v>11200000</v>
      </c>
      <c r="C8" s="76">
        <v>12000000</v>
      </c>
      <c r="D8" s="76">
        <v>12000000</v>
      </c>
      <c r="E8" s="76">
        <v>12000000</v>
      </c>
      <c r="F8" s="76">
        <v>18000000</v>
      </c>
      <c r="G8" s="76">
        <v>18000000</v>
      </c>
      <c r="H8" s="88">
        <v>18000000</v>
      </c>
      <c r="K8" s="77" t="s">
        <v>2232</v>
      </c>
      <c r="L8" s="81" t="s">
        <v>2233</v>
      </c>
      <c r="M8" s="81" t="s">
        <v>2234</v>
      </c>
    </row>
    <row r="9" spans="1:18" ht="15.6" thickTop="1" thickBot="1">
      <c r="A9" s="75" t="s">
        <v>1153</v>
      </c>
      <c r="B9" s="76">
        <v>1140000</v>
      </c>
      <c r="C9" s="76">
        <v>1500000</v>
      </c>
      <c r="D9" s="76">
        <v>1500000</v>
      </c>
      <c r="E9" s="76">
        <v>1500000</v>
      </c>
      <c r="F9" s="76">
        <v>1500000</v>
      </c>
      <c r="G9" s="76">
        <v>1500000</v>
      </c>
      <c r="H9" s="88">
        <v>1500000</v>
      </c>
      <c r="K9" s="77" t="s">
        <v>2240</v>
      </c>
      <c r="L9" s="81" t="s">
        <v>2241</v>
      </c>
      <c r="M9" s="81"/>
      <c r="P9" s="82">
        <v>293791301.54140311</v>
      </c>
      <c r="Q9" s="83">
        <f>P9*L6</f>
        <v>20418495.457127519</v>
      </c>
      <c r="R9" s="83">
        <f>P9*M6</f>
        <v>19096434.600191202</v>
      </c>
    </row>
    <row r="10" spans="1:18" ht="15" thickTop="1">
      <c r="A10" s="75" t="s">
        <v>646</v>
      </c>
      <c r="B10" s="76">
        <v>100000</v>
      </c>
      <c r="C10" s="76">
        <v>100000</v>
      </c>
      <c r="D10" s="76">
        <v>150000</v>
      </c>
      <c r="E10" s="76">
        <v>150000</v>
      </c>
      <c r="F10" s="76">
        <v>150000</v>
      </c>
      <c r="G10" s="76">
        <v>150000</v>
      </c>
      <c r="H10" s="88">
        <v>150000</v>
      </c>
      <c r="Q10" s="83"/>
    </row>
    <row r="11" spans="1:18">
      <c r="A11" s="75" t="s">
        <v>2226</v>
      </c>
      <c r="B11" s="76">
        <v>3000000</v>
      </c>
      <c r="C11" s="76">
        <v>3000000</v>
      </c>
      <c r="D11" s="76">
        <v>3000000</v>
      </c>
      <c r="E11" s="76">
        <v>3000000</v>
      </c>
      <c r="F11" s="76">
        <v>3000000</v>
      </c>
      <c r="G11" s="76">
        <v>3000000</v>
      </c>
      <c r="H11" s="88">
        <v>3000000</v>
      </c>
      <c r="Q11" s="82">
        <f>Q9*0.75</f>
        <v>15313871.592845639</v>
      </c>
      <c r="R11" s="82">
        <f>R9*0.75</f>
        <v>14322325.950143401</v>
      </c>
    </row>
    <row r="12" spans="1:18" ht="15" thickBot="1">
      <c r="A12" s="75" t="s">
        <v>2227</v>
      </c>
      <c r="B12" s="76">
        <v>500000</v>
      </c>
      <c r="C12" s="76">
        <v>750000</v>
      </c>
      <c r="D12" s="76">
        <v>750000</v>
      </c>
      <c r="E12" s="76">
        <v>750000</v>
      </c>
      <c r="F12" s="76">
        <v>750000</v>
      </c>
      <c r="G12" s="76">
        <v>750000</v>
      </c>
      <c r="H12" s="88">
        <v>750000</v>
      </c>
    </row>
    <row r="13" spans="1:18" ht="15.6" thickTop="1" thickBot="1">
      <c r="A13" s="84" t="s">
        <v>2228</v>
      </c>
      <c r="B13" s="85">
        <v>1500000</v>
      </c>
      <c r="C13" s="85">
        <v>2000000</v>
      </c>
      <c r="D13" s="85">
        <v>3000000</v>
      </c>
      <c r="E13" s="85">
        <v>3000000</v>
      </c>
      <c r="F13" s="85">
        <v>3000000</v>
      </c>
      <c r="G13" s="85">
        <v>3000000</v>
      </c>
      <c r="H13" s="89">
        <v>3000000</v>
      </c>
      <c r="L13" s="73" t="s">
        <v>2235</v>
      </c>
      <c r="M13" s="73" t="s">
        <v>2236</v>
      </c>
      <c r="Q13" s="86">
        <f>L7/Q9</f>
        <v>0.74961448712701839</v>
      </c>
    </row>
    <row r="14" spans="1:18" ht="15.6" thickTop="1" thickBot="1">
      <c r="K14" s="73" t="s">
        <v>1677</v>
      </c>
      <c r="L14" s="73" t="s">
        <v>2230</v>
      </c>
      <c r="M14" s="73" t="s">
        <v>2230</v>
      </c>
      <c r="N14" s="83"/>
    </row>
    <row r="15" spans="1:18" ht="15.6" thickTop="1" thickBot="1">
      <c r="K15" s="77" t="s">
        <v>19</v>
      </c>
      <c r="L15" s="78">
        <f>L5*2</f>
        <v>1443408</v>
      </c>
      <c r="M15" s="78">
        <f>M5*2</f>
        <v>1443408</v>
      </c>
    </row>
    <row r="16" spans="1:18" ht="15.6" thickTop="1" thickBot="1">
      <c r="K16" s="77" t="s">
        <v>1670</v>
      </c>
      <c r="L16" s="80">
        <v>340000</v>
      </c>
      <c r="M16" s="80">
        <v>114000</v>
      </c>
    </row>
    <row r="17" spans="11:13" ht="15.6" thickTop="1" thickBot="1">
      <c r="K17" s="77"/>
      <c r="L17" s="80"/>
      <c r="M17" s="80"/>
    </row>
    <row r="18" spans="11:13" ht="15.6" thickTop="1" thickBot="1">
      <c r="K18" s="81" t="s">
        <v>2239</v>
      </c>
      <c r="L18" s="87" t="s">
        <v>2237</v>
      </c>
      <c r="M18" s="87" t="s">
        <v>2238</v>
      </c>
    </row>
    <row r="19" spans="11:13" ht="15" thickTop="1"/>
  </sheetData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3"/>
  <sheetViews>
    <sheetView showGridLines="0" workbookViewId="0">
      <selection activeCell="A16" sqref="A16"/>
    </sheetView>
  </sheetViews>
  <sheetFormatPr baseColWidth="10" defaultRowHeight="14.4"/>
  <cols>
    <col min="1" max="1" width="11.5546875" style="72"/>
    <col min="2" max="2" width="21.77734375" style="72" bestFit="1" customWidth="1"/>
    <col min="3" max="3" width="35" style="72" bestFit="1" customWidth="1"/>
    <col min="4" max="4" width="28.77734375" style="72" bestFit="1" customWidth="1"/>
    <col min="5" max="5" width="11.5546875" style="72"/>
    <col min="6" max="8" width="11.6640625" style="72" bestFit="1" customWidth="1"/>
    <col min="9" max="10" width="13.77734375" style="72" bestFit="1" customWidth="1"/>
    <col min="11" max="12" width="12.77734375" style="72" bestFit="1" customWidth="1"/>
    <col min="13" max="16384" width="11.5546875" style="72"/>
  </cols>
  <sheetData>
    <row r="1" spans="1:13" ht="15" thickBot="1"/>
    <row r="2" spans="1:13" ht="43.2">
      <c r="A2" s="390" t="s">
        <v>9</v>
      </c>
      <c r="B2" s="390" t="s">
        <v>10</v>
      </c>
      <c r="C2" s="529" t="s">
        <v>11</v>
      </c>
      <c r="D2" s="529" t="s">
        <v>12</v>
      </c>
      <c r="E2" s="529" t="s">
        <v>13</v>
      </c>
      <c r="F2" s="529" t="s">
        <v>14</v>
      </c>
      <c r="G2" s="529" t="s">
        <v>15</v>
      </c>
      <c r="H2" s="529" t="s">
        <v>16</v>
      </c>
      <c r="I2" s="529" t="s">
        <v>17</v>
      </c>
      <c r="J2" s="529" t="s">
        <v>18</v>
      </c>
      <c r="K2" s="529" t="s">
        <v>19</v>
      </c>
      <c r="L2" s="529" t="s">
        <v>20</v>
      </c>
      <c r="M2" s="529" t="s">
        <v>21</v>
      </c>
    </row>
    <row r="3" spans="1:13">
      <c r="A3" s="644" t="s">
        <v>2747</v>
      </c>
      <c r="B3" s="645" t="s">
        <v>174</v>
      </c>
      <c r="C3" s="646" t="s">
        <v>2751</v>
      </c>
      <c r="D3" s="646" t="s">
        <v>448</v>
      </c>
      <c r="E3" s="647" t="s">
        <v>33</v>
      </c>
      <c r="F3" s="648">
        <v>44416</v>
      </c>
      <c r="G3" s="648">
        <v>44609</v>
      </c>
      <c r="H3" s="648">
        <v>44609</v>
      </c>
      <c r="I3" s="649">
        <v>87926.22</v>
      </c>
      <c r="J3" s="649"/>
      <c r="K3" s="649"/>
      <c r="L3" s="649"/>
      <c r="M3" s="650"/>
    </row>
    <row r="4" spans="1:13">
      <c r="A4" s="644" t="s">
        <v>2748</v>
      </c>
      <c r="B4" s="645" t="s">
        <v>23</v>
      </c>
      <c r="C4" s="646" t="s">
        <v>2751</v>
      </c>
      <c r="D4" s="646" t="s">
        <v>448</v>
      </c>
      <c r="E4" s="647" t="s">
        <v>33</v>
      </c>
      <c r="F4" s="648">
        <v>44416</v>
      </c>
      <c r="G4" s="648">
        <v>44609</v>
      </c>
      <c r="H4" s="648">
        <v>44609</v>
      </c>
      <c r="I4" s="649">
        <v>12927.6</v>
      </c>
      <c r="J4" s="649"/>
      <c r="K4" s="649"/>
      <c r="L4" s="649"/>
      <c r="M4" s="650"/>
    </row>
    <row r="5" spans="1:13">
      <c r="A5" s="644" t="s">
        <v>2749</v>
      </c>
      <c r="B5" s="645" t="s">
        <v>174</v>
      </c>
      <c r="C5" s="646" t="s">
        <v>2751</v>
      </c>
      <c r="D5" s="646" t="s">
        <v>448</v>
      </c>
      <c r="E5" s="647" t="s">
        <v>33</v>
      </c>
      <c r="F5" s="648">
        <v>44416</v>
      </c>
      <c r="G5" s="648">
        <v>44615</v>
      </c>
      <c r="H5" s="648">
        <v>44615</v>
      </c>
      <c r="I5" s="649">
        <v>651000</v>
      </c>
      <c r="J5" s="649"/>
      <c r="K5" s="649"/>
      <c r="L5" s="649"/>
      <c r="M5" s="650"/>
    </row>
    <row r="6" spans="1:13">
      <c r="A6" s="644" t="s">
        <v>2750</v>
      </c>
      <c r="B6" s="645" t="s">
        <v>23</v>
      </c>
      <c r="C6" s="646" t="s">
        <v>2751</v>
      </c>
      <c r="D6" s="646" t="s">
        <v>448</v>
      </c>
      <c r="E6" s="647" t="s">
        <v>33</v>
      </c>
      <c r="F6" s="648">
        <v>44416</v>
      </c>
      <c r="G6" s="648">
        <v>44615</v>
      </c>
      <c r="H6" s="648">
        <v>44615</v>
      </c>
      <c r="I6" s="649">
        <v>75979.75</v>
      </c>
      <c r="J6" s="649">
        <f>+I6+I5+I4+I3</f>
        <v>827833.57</v>
      </c>
      <c r="K6" s="649">
        <v>721704</v>
      </c>
      <c r="L6" s="649">
        <f>+J6-K6</f>
        <v>106129.56999999995</v>
      </c>
      <c r="M6" s="650"/>
    </row>
    <row r="7" spans="1:13">
      <c r="A7" s="644" t="s">
        <v>2752</v>
      </c>
      <c r="B7" s="645" t="s">
        <v>174</v>
      </c>
      <c r="C7" s="646" t="s">
        <v>2754</v>
      </c>
      <c r="D7" s="646" t="s">
        <v>38</v>
      </c>
      <c r="E7" s="647" t="s">
        <v>33</v>
      </c>
      <c r="F7" s="648">
        <v>44270</v>
      </c>
      <c r="G7" s="648">
        <v>44531</v>
      </c>
      <c r="H7" s="648">
        <v>44580</v>
      </c>
      <c r="I7" s="649">
        <v>670000</v>
      </c>
      <c r="J7" s="649"/>
      <c r="K7" s="649"/>
      <c r="L7" s="649"/>
      <c r="M7" s="650"/>
    </row>
    <row r="8" spans="1:13">
      <c r="A8" s="644" t="s">
        <v>2753</v>
      </c>
      <c r="B8" s="645" t="s">
        <v>23</v>
      </c>
      <c r="C8" s="646" t="s">
        <v>2754</v>
      </c>
      <c r="D8" s="646" t="s">
        <v>38</v>
      </c>
      <c r="E8" s="647" t="s">
        <v>33</v>
      </c>
      <c r="F8" s="648">
        <v>44270</v>
      </c>
      <c r="G8" s="648">
        <v>44531</v>
      </c>
      <c r="H8" s="648">
        <v>44580</v>
      </c>
      <c r="I8" s="649">
        <v>149847.65</v>
      </c>
      <c r="J8" s="649">
        <f>+I8+I7</f>
        <v>819847.65</v>
      </c>
      <c r="K8" s="649">
        <v>721704</v>
      </c>
      <c r="L8" s="649">
        <f>+J8-K8</f>
        <v>98143.650000000023</v>
      </c>
      <c r="M8" s="650"/>
    </row>
    <row r="9" spans="1:13">
      <c r="A9" s="651" t="s">
        <v>2755</v>
      </c>
      <c r="B9" s="652" t="s">
        <v>174</v>
      </c>
      <c r="C9" s="646" t="s">
        <v>2756</v>
      </c>
      <c r="D9" s="646" t="s">
        <v>2637</v>
      </c>
      <c r="E9" s="647" t="s">
        <v>33</v>
      </c>
      <c r="F9" s="653">
        <v>44375</v>
      </c>
      <c r="G9" s="653">
        <v>44564</v>
      </c>
      <c r="H9" s="653">
        <v>44727</v>
      </c>
      <c r="I9" s="654">
        <v>1017560.12</v>
      </c>
      <c r="J9" s="649">
        <f>+I9</f>
        <v>1017560.12</v>
      </c>
      <c r="K9" s="649">
        <v>721704</v>
      </c>
      <c r="L9" s="649">
        <f>+J9-K9</f>
        <v>295856.12</v>
      </c>
      <c r="M9" s="650"/>
    </row>
    <row r="10" spans="1:13">
      <c r="A10" s="651" t="s">
        <v>2638</v>
      </c>
      <c r="B10" s="652" t="s">
        <v>174</v>
      </c>
      <c r="C10" s="646" t="s">
        <v>2639</v>
      </c>
      <c r="D10" s="646" t="s">
        <v>2637</v>
      </c>
      <c r="E10" s="647" t="s">
        <v>33</v>
      </c>
      <c r="F10" s="653">
        <v>44399</v>
      </c>
      <c r="G10" s="653">
        <v>44440</v>
      </c>
      <c r="H10" s="653">
        <v>44558</v>
      </c>
      <c r="I10" s="654">
        <v>5584126.5800000001</v>
      </c>
      <c r="J10" s="649">
        <f>+I10</f>
        <v>5584126.5800000001</v>
      </c>
      <c r="K10" s="649">
        <v>0</v>
      </c>
      <c r="L10" s="649">
        <f>+J10-K10</f>
        <v>5584126.5800000001</v>
      </c>
      <c r="M10" s="650"/>
    </row>
    <row r="11" spans="1:13">
      <c r="A11" s="651" t="s">
        <v>2757</v>
      </c>
      <c r="B11" s="652" t="s">
        <v>174</v>
      </c>
      <c r="C11" s="646" t="s">
        <v>2766</v>
      </c>
      <c r="D11" s="646" t="s">
        <v>2581</v>
      </c>
      <c r="E11" s="647" t="s">
        <v>33</v>
      </c>
      <c r="F11" s="653">
        <v>44375</v>
      </c>
      <c r="G11" s="653">
        <v>44446</v>
      </c>
      <c r="H11" s="653"/>
      <c r="I11" s="654">
        <v>1507533.19</v>
      </c>
      <c r="J11" s="649"/>
      <c r="K11" s="649"/>
      <c r="L11" s="649"/>
      <c r="M11" s="650"/>
    </row>
    <row r="12" spans="1:13">
      <c r="A12" s="651" t="s">
        <v>2758</v>
      </c>
      <c r="B12" s="652" t="s">
        <v>23</v>
      </c>
      <c r="C12" s="646" t="s">
        <v>2766</v>
      </c>
      <c r="D12" s="646" t="s">
        <v>2581</v>
      </c>
      <c r="E12" s="647" t="s">
        <v>33</v>
      </c>
      <c r="F12" s="653">
        <v>44375</v>
      </c>
      <c r="G12" s="653">
        <v>44447</v>
      </c>
      <c r="H12" s="653"/>
      <c r="I12" s="654">
        <v>157500</v>
      </c>
      <c r="J12" s="649">
        <f>SUM(I11:I12)</f>
        <v>1665033.19</v>
      </c>
      <c r="K12" s="649">
        <v>721704</v>
      </c>
      <c r="L12" s="649">
        <f>+J12-K12</f>
        <v>943329.19</v>
      </c>
      <c r="M12" s="650"/>
    </row>
    <row r="13" spans="1:13">
      <c r="A13" s="651" t="s">
        <v>2759</v>
      </c>
      <c r="B13" s="652" t="s">
        <v>23</v>
      </c>
      <c r="C13" s="646" t="s">
        <v>2643</v>
      </c>
      <c r="D13" s="646" t="s">
        <v>2644</v>
      </c>
      <c r="E13" s="647" t="s">
        <v>33</v>
      </c>
      <c r="F13" s="653">
        <v>44279</v>
      </c>
      <c r="G13" s="653">
        <v>44349</v>
      </c>
      <c r="H13" s="653"/>
      <c r="I13" s="654">
        <v>32684.02</v>
      </c>
      <c r="J13" s="649">
        <f>+I13</f>
        <v>32684.02</v>
      </c>
      <c r="K13" s="649">
        <v>0</v>
      </c>
      <c r="L13" s="649">
        <f t="shared" ref="L13:L15" si="0">+J13-K13</f>
        <v>32684.02</v>
      </c>
      <c r="M13" s="650"/>
    </row>
    <row r="14" spans="1:13">
      <c r="A14" s="651" t="s">
        <v>2760</v>
      </c>
      <c r="B14" s="652" t="s">
        <v>23</v>
      </c>
      <c r="C14" s="646" t="s">
        <v>2527</v>
      </c>
      <c r="D14" s="646" t="s">
        <v>2326</v>
      </c>
      <c r="E14" s="647" t="s">
        <v>33</v>
      </c>
      <c r="F14" s="653">
        <v>44240</v>
      </c>
      <c r="G14" s="653">
        <v>44322</v>
      </c>
      <c r="H14" s="653"/>
      <c r="I14" s="654">
        <v>32546.78</v>
      </c>
      <c r="J14" s="649">
        <f>+I14</f>
        <v>32546.78</v>
      </c>
      <c r="K14" s="649">
        <v>0</v>
      </c>
      <c r="L14" s="649">
        <f t="shared" si="0"/>
        <v>32546.78</v>
      </c>
      <c r="M14" s="650"/>
    </row>
    <row r="15" spans="1:13">
      <c r="A15" s="651" t="s">
        <v>2646</v>
      </c>
      <c r="B15" s="652" t="s">
        <v>30</v>
      </c>
      <c r="C15" s="646" t="s">
        <v>2648</v>
      </c>
      <c r="D15" s="646" t="s">
        <v>2401</v>
      </c>
      <c r="E15" s="647" t="s">
        <v>33</v>
      </c>
      <c r="F15" s="653">
        <v>44315</v>
      </c>
      <c r="G15" s="653">
        <v>44419</v>
      </c>
      <c r="H15" s="653"/>
      <c r="I15" s="654">
        <v>14375</v>
      </c>
      <c r="J15" s="649">
        <f>+I15</f>
        <v>14375</v>
      </c>
      <c r="K15" s="649">
        <v>0</v>
      </c>
      <c r="L15" s="649">
        <f t="shared" si="0"/>
        <v>14375</v>
      </c>
      <c r="M15" s="650"/>
    </row>
    <row r="16" spans="1:13">
      <c r="A16" s="651" t="s">
        <v>2761</v>
      </c>
      <c r="B16" s="652" t="s">
        <v>93</v>
      </c>
      <c r="C16" s="646" t="s">
        <v>2767</v>
      </c>
      <c r="D16" s="646" t="s">
        <v>2326</v>
      </c>
      <c r="E16" s="647" t="s">
        <v>33</v>
      </c>
      <c r="F16" s="653">
        <v>44327</v>
      </c>
      <c r="G16" s="653">
        <v>44351</v>
      </c>
      <c r="H16" s="653"/>
      <c r="I16" s="654">
        <v>610000</v>
      </c>
      <c r="J16" s="649"/>
      <c r="K16" s="649"/>
      <c r="L16" s="649"/>
      <c r="M16" s="650"/>
    </row>
    <row r="17" spans="1:13">
      <c r="A17" s="651" t="s">
        <v>2762</v>
      </c>
      <c r="B17" s="652" t="s">
        <v>174</v>
      </c>
      <c r="C17" s="646" t="s">
        <v>2767</v>
      </c>
      <c r="D17" s="646" t="s">
        <v>2326</v>
      </c>
      <c r="E17" s="647" t="s">
        <v>33</v>
      </c>
      <c r="F17" s="653">
        <v>44327</v>
      </c>
      <c r="G17" s="653">
        <v>44391</v>
      </c>
      <c r="H17" s="653"/>
      <c r="I17" s="654">
        <v>75781.58</v>
      </c>
      <c r="J17" s="649"/>
      <c r="K17" s="649"/>
      <c r="L17" s="649"/>
      <c r="M17" s="650"/>
    </row>
    <row r="18" spans="1:13">
      <c r="A18" s="651" t="s">
        <v>2763</v>
      </c>
      <c r="B18" s="652" t="s">
        <v>174</v>
      </c>
      <c r="C18" s="646" t="s">
        <v>2767</v>
      </c>
      <c r="D18" s="646" t="s">
        <v>2326</v>
      </c>
      <c r="E18" s="647" t="s">
        <v>33</v>
      </c>
      <c r="F18" s="653">
        <v>44327</v>
      </c>
      <c r="G18" s="653">
        <v>44455</v>
      </c>
      <c r="H18" s="653"/>
      <c r="I18" s="654">
        <v>295318.20999999996</v>
      </c>
      <c r="J18" s="649">
        <f>+I18+I17+I16</f>
        <v>981099.79</v>
      </c>
      <c r="K18" s="649">
        <v>721704</v>
      </c>
      <c r="L18" s="649">
        <f t="shared" ref="L18" si="1">+J18-K18</f>
        <v>259395.79000000004</v>
      </c>
      <c r="M18" s="650"/>
    </row>
    <row r="19" spans="1:13">
      <c r="A19" s="651" t="s">
        <v>2764</v>
      </c>
      <c r="B19" s="652" t="s">
        <v>174</v>
      </c>
      <c r="C19" s="646" t="s">
        <v>2768</v>
      </c>
      <c r="D19" s="646" t="s">
        <v>38</v>
      </c>
      <c r="E19" s="647" t="s">
        <v>33</v>
      </c>
      <c r="F19" s="653">
        <v>44377</v>
      </c>
      <c r="G19" s="653">
        <v>44480</v>
      </c>
      <c r="H19" s="653"/>
      <c r="I19" s="654">
        <v>628838.31000000006</v>
      </c>
      <c r="J19" s="649"/>
      <c r="K19" s="649"/>
      <c r="L19" s="649"/>
      <c r="M19" s="650"/>
    </row>
    <row r="20" spans="1:13">
      <c r="A20" s="651" t="s">
        <v>2765</v>
      </c>
      <c r="B20" s="652" t="s">
        <v>23</v>
      </c>
      <c r="C20" s="646" t="s">
        <v>2768</v>
      </c>
      <c r="D20" s="646" t="s">
        <v>38</v>
      </c>
      <c r="E20" s="647" t="s">
        <v>33</v>
      </c>
      <c r="F20" s="653">
        <v>44377</v>
      </c>
      <c r="G20" s="653">
        <v>44480</v>
      </c>
      <c r="H20" s="653"/>
      <c r="I20" s="654">
        <v>140162.54</v>
      </c>
      <c r="J20" s="649">
        <f>+I20+I19</f>
        <v>769000.85000000009</v>
      </c>
      <c r="K20" s="649">
        <v>721704</v>
      </c>
      <c r="L20" s="649">
        <f t="shared" ref="L20" si="2">+J20-K20</f>
        <v>47296.850000000093</v>
      </c>
      <c r="M20" s="650"/>
    </row>
    <row r="21" spans="1:13">
      <c r="I21" s="655">
        <f>SUM(I3:I20)</f>
        <v>11744107.549999999</v>
      </c>
      <c r="J21" s="655">
        <f t="shared" ref="J21:K21" si="3">SUM(J3:J20)</f>
        <v>11744107.549999999</v>
      </c>
      <c r="K21" s="655">
        <f t="shared" si="3"/>
        <v>4330224</v>
      </c>
      <c r="L21" s="655">
        <f>SUM(L3:L20)</f>
        <v>7413883.5499999989</v>
      </c>
    </row>
    <row r="23" spans="1:13">
      <c r="D23" s="656" t="s">
        <v>2792</v>
      </c>
    </row>
  </sheetData>
  <dataValidations count="1">
    <dataValidation type="list" allowBlank="1" showInputMessage="1" showErrorMessage="1" sqref="B3:B8" xr:uid="{00000000-0002-0000-1400-000000000000}">
      <formula1>#REF!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4"/>
  <sheetViews>
    <sheetView showGridLines="0" topLeftCell="A2" zoomScaleNormal="100" workbookViewId="0">
      <selection activeCell="A9" sqref="A9"/>
    </sheetView>
  </sheetViews>
  <sheetFormatPr baseColWidth="10" defaultColWidth="11.44140625" defaultRowHeight="14.4"/>
  <cols>
    <col min="1" max="1" width="19.109375" style="72" customWidth="1"/>
    <col min="2" max="2" width="24.6640625" style="72" bestFit="1" customWidth="1"/>
    <col min="3" max="3" width="52.88671875" style="72" bestFit="1" customWidth="1"/>
    <col min="4" max="4" width="45" style="72" customWidth="1"/>
    <col min="5" max="5" width="20.33203125" style="72" customWidth="1"/>
    <col min="6" max="6" width="12.44140625" style="72" customWidth="1"/>
    <col min="7" max="7" width="14.109375" style="72" customWidth="1"/>
    <col min="8" max="8" width="13.6640625" style="72" customWidth="1"/>
    <col min="9" max="9" width="16.44140625" style="72" customWidth="1"/>
    <col min="10" max="10" width="15.88671875" style="72" customWidth="1"/>
    <col min="11" max="11" width="16.88671875" style="72" customWidth="1"/>
    <col min="12" max="12" width="16" style="72" customWidth="1"/>
    <col min="13" max="13" width="16.88671875" style="72" customWidth="1"/>
    <col min="14" max="14" width="11.44140625" style="72"/>
    <col min="15" max="15" width="20.109375" style="72" bestFit="1" customWidth="1"/>
    <col min="16" max="16" width="13" style="72" bestFit="1" customWidth="1"/>
    <col min="17" max="16384" width="11.44140625" style="72"/>
  </cols>
  <sheetData>
    <row r="1" spans="1:16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6" ht="18.600000000000001" thickBot="1">
      <c r="A2" s="202" t="s">
        <v>0</v>
      </c>
      <c r="B2" s="149"/>
      <c r="C2" s="203" t="s">
        <v>1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6" ht="18.600000000000001" thickBot="1">
      <c r="A3" s="742" t="s">
        <v>2</v>
      </c>
      <c r="B3" s="743"/>
      <c r="C3" s="203" t="s">
        <v>3</v>
      </c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16" ht="18.600000000000001" thickBot="1">
      <c r="A4" s="745" t="s">
        <v>4</v>
      </c>
      <c r="B4" s="746"/>
      <c r="C4" s="207">
        <v>20.098199999999999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6" ht="32.25" customHeight="1" thickBot="1">
      <c r="A5" s="749" t="s">
        <v>5</v>
      </c>
      <c r="B5" s="750"/>
      <c r="C5" s="208" t="s">
        <v>344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6" ht="18.600000000000001" thickBot="1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</row>
    <row r="7" spans="1:16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16" ht="18.600000000000001" thickBot="1">
      <c r="A8" s="739" t="s">
        <v>345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1"/>
      <c r="O8" s="210" t="s">
        <v>1090</v>
      </c>
      <c r="P8" s="211">
        <f>'BURNING COST'!F8</f>
        <v>721704</v>
      </c>
    </row>
    <row r="9" spans="1:16" ht="29.4" thickBot="1">
      <c r="A9" s="388" t="s">
        <v>9</v>
      </c>
      <c r="B9" s="388" t="s">
        <v>10</v>
      </c>
      <c r="C9" s="388" t="s">
        <v>11</v>
      </c>
      <c r="D9" s="388" t="s">
        <v>12</v>
      </c>
      <c r="E9" s="388" t="s">
        <v>13</v>
      </c>
      <c r="F9" s="389" t="s">
        <v>14</v>
      </c>
      <c r="G9" s="388" t="s">
        <v>15</v>
      </c>
      <c r="H9" s="388" t="s">
        <v>16</v>
      </c>
      <c r="I9" s="388" t="s">
        <v>17</v>
      </c>
      <c r="J9" s="389" t="s">
        <v>18</v>
      </c>
      <c r="K9" s="388" t="s">
        <v>19</v>
      </c>
      <c r="L9" s="388" t="s">
        <v>20</v>
      </c>
      <c r="M9" s="390" t="s">
        <v>21</v>
      </c>
      <c r="O9" s="215" t="s">
        <v>1091</v>
      </c>
    </row>
    <row r="10" spans="1:16" s="322" customFormat="1" ht="12">
      <c r="A10" s="316" t="s">
        <v>346</v>
      </c>
      <c r="B10" s="317" t="s">
        <v>30</v>
      </c>
      <c r="C10" s="318" t="s">
        <v>347</v>
      </c>
      <c r="D10" s="317" t="s">
        <v>38</v>
      </c>
      <c r="E10" s="317" t="s">
        <v>33</v>
      </c>
      <c r="F10" s="319">
        <v>40921</v>
      </c>
      <c r="G10" s="319">
        <v>40945</v>
      </c>
      <c r="H10" s="319">
        <v>40984</v>
      </c>
      <c r="I10" s="320">
        <v>25892.94</v>
      </c>
      <c r="J10" s="319"/>
      <c r="K10" s="319"/>
      <c r="L10" s="319"/>
      <c r="M10" s="321"/>
      <c r="O10" s="323"/>
    </row>
    <row r="11" spans="1:16" s="322" customFormat="1" ht="12.6" thickBot="1">
      <c r="A11" s="324" t="s">
        <v>348</v>
      </c>
      <c r="B11" s="325" t="s">
        <v>349</v>
      </c>
      <c r="C11" s="326" t="s">
        <v>347</v>
      </c>
      <c r="D11" s="327" t="s">
        <v>38</v>
      </c>
      <c r="E11" s="327" t="s">
        <v>33</v>
      </c>
      <c r="F11" s="328">
        <v>40921</v>
      </c>
      <c r="G11" s="328">
        <v>40945</v>
      </c>
      <c r="H11" s="328">
        <v>40984</v>
      </c>
      <c r="I11" s="329">
        <v>150000</v>
      </c>
      <c r="J11" s="329">
        <f>I10+I11</f>
        <v>175892.94</v>
      </c>
      <c r="K11" s="329">
        <v>118900</v>
      </c>
      <c r="L11" s="330">
        <f>J11-K11</f>
        <v>56992.94</v>
      </c>
      <c r="M11" s="331"/>
      <c r="O11" s="305">
        <f>IF($J11&gt;P$8,$J11-P$8,0)</f>
        <v>0</v>
      </c>
    </row>
    <row r="12" spans="1:16" s="322" customFormat="1" ht="12.6" thickBot="1">
      <c r="A12" s="332" t="s">
        <v>1211</v>
      </c>
      <c r="B12" s="333" t="s">
        <v>30</v>
      </c>
      <c r="C12" s="334" t="s">
        <v>1224</v>
      </c>
      <c r="D12" s="333" t="s">
        <v>1231</v>
      </c>
      <c r="E12" s="333" t="s">
        <v>33</v>
      </c>
      <c r="F12" s="335">
        <v>41238</v>
      </c>
      <c r="G12" s="335">
        <v>41310</v>
      </c>
      <c r="H12" s="335">
        <v>41312</v>
      </c>
      <c r="I12" s="336">
        <v>140000</v>
      </c>
      <c r="J12" s="336"/>
      <c r="K12" s="336"/>
      <c r="L12" s="337"/>
      <c r="M12" s="338"/>
      <c r="O12" s="305">
        <f t="shared" ref="O12:O75" si="0">IF($J12&gt;P$8,$J12-P$8,0)</f>
        <v>0</v>
      </c>
    </row>
    <row r="13" spans="1:16" s="322" customFormat="1" ht="12.6" thickBot="1">
      <c r="A13" s="339" t="s">
        <v>1212</v>
      </c>
      <c r="B13" s="340" t="s">
        <v>28</v>
      </c>
      <c r="C13" s="341" t="s">
        <v>1224</v>
      </c>
      <c r="D13" s="340" t="s">
        <v>1231</v>
      </c>
      <c r="E13" s="340" t="s">
        <v>33</v>
      </c>
      <c r="F13" s="342">
        <v>41238</v>
      </c>
      <c r="G13" s="342">
        <v>41310</v>
      </c>
      <c r="H13" s="342">
        <v>41339</v>
      </c>
      <c r="I13" s="343">
        <v>1947.58</v>
      </c>
      <c r="J13" s="343"/>
      <c r="K13" s="343"/>
      <c r="L13" s="344"/>
      <c r="M13" s="345"/>
      <c r="O13" s="305">
        <f t="shared" si="0"/>
        <v>0</v>
      </c>
    </row>
    <row r="14" spans="1:16" s="322" customFormat="1" ht="12">
      <c r="A14" s="346" t="s">
        <v>1212</v>
      </c>
      <c r="B14" s="347" t="s">
        <v>28</v>
      </c>
      <c r="C14" s="348" t="s">
        <v>1224</v>
      </c>
      <c r="D14" s="347" t="s">
        <v>1231</v>
      </c>
      <c r="E14" s="347" t="s">
        <v>33</v>
      </c>
      <c r="F14" s="349">
        <v>41238</v>
      </c>
      <c r="G14" s="349">
        <v>41310</v>
      </c>
      <c r="H14" s="349">
        <v>41339</v>
      </c>
      <c r="I14" s="350">
        <v>1947.58</v>
      </c>
      <c r="J14" s="350">
        <f>SUM(I12:I14)</f>
        <v>143895.15999999997</v>
      </c>
      <c r="K14" s="350">
        <v>118900</v>
      </c>
      <c r="L14" s="351">
        <f>+J14-K14</f>
        <v>24995.159999999974</v>
      </c>
      <c r="M14" s="352"/>
      <c r="O14" s="305">
        <f t="shared" si="0"/>
        <v>0</v>
      </c>
    </row>
    <row r="15" spans="1:16" s="322" customFormat="1" ht="12.6" thickBot="1">
      <c r="A15" s="353" t="s">
        <v>1274</v>
      </c>
      <c r="B15" s="327" t="s">
        <v>28</v>
      </c>
      <c r="C15" s="326" t="s">
        <v>1276</v>
      </c>
      <c r="D15" s="327" t="s">
        <v>1277</v>
      </c>
      <c r="E15" s="327" t="s">
        <v>33</v>
      </c>
      <c r="F15" s="354">
        <v>41260</v>
      </c>
      <c r="G15" s="354">
        <v>41327</v>
      </c>
      <c r="H15" s="354">
        <v>41339</v>
      </c>
      <c r="I15" s="355">
        <v>100000</v>
      </c>
      <c r="J15" s="355"/>
      <c r="K15" s="355"/>
      <c r="L15" s="330"/>
      <c r="M15" s="356"/>
      <c r="O15" s="305">
        <f t="shared" si="0"/>
        <v>0</v>
      </c>
    </row>
    <row r="16" spans="1:16" s="322" customFormat="1" ht="12">
      <c r="A16" s="346" t="s">
        <v>1275</v>
      </c>
      <c r="B16" s="347" t="s">
        <v>30</v>
      </c>
      <c r="C16" s="348" t="s">
        <v>1276</v>
      </c>
      <c r="D16" s="347" t="s">
        <v>1277</v>
      </c>
      <c r="E16" s="347" t="s">
        <v>33</v>
      </c>
      <c r="F16" s="349">
        <v>41260</v>
      </c>
      <c r="G16" s="349">
        <v>41327</v>
      </c>
      <c r="H16" s="349">
        <v>41340</v>
      </c>
      <c r="I16" s="350">
        <v>25984.17</v>
      </c>
      <c r="J16" s="350">
        <f>SUM(I15:I16)</f>
        <v>125984.17</v>
      </c>
      <c r="K16" s="350">
        <v>118900</v>
      </c>
      <c r="L16" s="351">
        <f>+J16-K16</f>
        <v>7084.1699999999983</v>
      </c>
      <c r="M16" s="352"/>
      <c r="O16" s="305">
        <f t="shared" si="0"/>
        <v>0</v>
      </c>
    </row>
    <row r="17" spans="1:15" s="322" customFormat="1" ht="12.6" thickBot="1">
      <c r="A17" s="324" t="s">
        <v>350</v>
      </c>
      <c r="B17" s="325" t="s">
        <v>93</v>
      </c>
      <c r="C17" s="326" t="s">
        <v>351</v>
      </c>
      <c r="D17" s="327" t="s">
        <v>38</v>
      </c>
      <c r="E17" s="327" t="s">
        <v>33</v>
      </c>
      <c r="F17" s="328">
        <v>41221</v>
      </c>
      <c r="G17" s="328">
        <v>41260</v>
      </c>
      <c r="H17" s="328">
        <v>41261</v>
      </c>
      <c r="I17" s="329">
        <v>172700</v>
      </c>
      <c r="J17" s="329">
        <f>I17</f>
        <v>172700</v>
      </c>
      <c r="K17" s="329">
        <v>118900</v>
      </c>
      <c r="L17" s="330">
        <f>J17-K17</f>
        <v>53800</v>
      </c>
      <c r="M17" s="331"/>
      <c r="O17" s="305">
        <f t="shared" si="0"/>
        <v>0</v>
      </c>
    </row>
    <row r="18" spans="1:15" s="322" customFormat="1" ht="12">
      <c r="A18" s="357" t="s">
        <v>352</v>
      </c>
      <c r="B18" s="358" t="s">
        <v>353</v>
      </c>
      <c r="C18" s="348" t="s">
        <v>354</v>
      </c>
      <c r="D18" s="348" t="s">
        <v>131</v>
      </c>
      <c r="E18" s="348" t="s">
        <v>33</v>
      </c>
      <c r="F18" s="359">
        <v>40957</v>
      </c>
      <c r="G18" s="359">
        <v>41031</v>
      </c>
      <c r="H18" s="359">
        <v>41145</v>
      </c>
      <c r="I18" s="360">
        <v>120306.2</v>
      </c>
      <c r="J18" s="360">
        <f>I18</f>
        <v>120306.2</v>
      </c>
      <c r="K18" s="360">
        <v>118900</v>
      </c>
      <c r="L18" s="351">
        <f>J18-K18</f>
        <v>1406.1999999999971</v>
      </c>
      <c r="M18" s="361"/>
      <c r="O18" s="305">
        <f t="shared" si="0"/>
        <v>0</v>
      </c>
    </row>
    <row r="19" spans="1:15" s="322" customFormat="1" ht="12.6" thickBot="1">
      <c r="A19" s="362" t="s">
        <v>355</v>
      </c>
      <c r="B19" s="325" t="s">
        <v>30</v>
      </c>
      <c r="C19" s="326" t="s">
        <v>356</v>
      </c>
      <c r="D19" s="326" t="s">
        <v>38</v>
      </c>
      <c r="E19" s="326" t="s">
        <v>33</v>
      </c>
      <c r="F19" s="328">
        <v>41152</v>
      </c>
      <c r="G19" s="328">
        <v>41187</v>
      </c>
      <c r="H19" s="328">
        <v>41192</v>
      </c>
      <c r="I19" s="329">
        <v>53000</v>
      </c>
      <c r="J19" s="329"/>
      <c r="K19" s="329"/>
      <c r="L19" s="330"/>
      <c r="M19" s="331"/>
      <c r="O19" s="305">
        <f t="shared" si="0"/>
        <v>0</v>
      </c>
    </row>
    <row r="20" spans="1:15" s="322" customFormat="1" ht="12">
      <c r="A20" s="357" t="s">
        <v>357</v>
      </c>
      <c r="B20" s="347" t="s">
        <v>349</v>
      </c>
      <c r="C20" s="348" t="s">
        <v>356</v>
      </c>
      <c r="D20" s="347" t="s">
        <v>38</v>
      </c>
      <c r="E20" s="347" t="s">
        <v>33</v>
      </c>
      <c r="F20" s="359">
        <v>41152</v>
      </c>
      <c r="G20" s="359">
        <v>41187</v>
      </c>
      <c r="H20" s="359">
        <v>41192</v>
      </c>
      <c r="I20" s="360">
        <v>200000</v>
      </c>
      <c r="J20" s="360">
        <f>SUM(I19:I20)</f>
        <v>253000</v>
      </c>
      <c r="K20" s="360">
        <v>118900</v>
      </c>
      <c r="L20" s="351">
        <f>J20-K20</f>
        <v>134100</v>
      </c>
      <c r="M20" s="352"/>
      <c r="O20" s="305">
        <f t="shared" si="0"/>
        <v>0</v>
      </c>
    </row>
    <row r="21" spans="1:15" s="322" customFormat="1" ht="12.6" thickBot="1">
      <c r="A21" s="353" t="s">
        <v>1235</v>
      </c>
      <c r="B21" s="327" t="s">
        <v>28</v>
      </c>
      <c r="C21" s="326" t="s">
        <v>1247</v>
      </c>
      <c r="D21" s="327" t="s">
        <v>1253</v>
      </c>
      <c r="E21" s="327" t="s">
        <v>33</v>
      </c>
      <c r="F21" s="354">
        <v>41170</v>
      </c>
      <c r="G21" s="354">
        <v>41306</v>
      </c>
      <c r="H21" s="354">
        <v>41312</v>
      </c>
      <c r="I21" s="355">
        <v>228000</v>
      </c>
      <c r="J21" s="355">
        <f>+I21</f>
        <v>228000</v>
      </c>
      <c r="K21" s="355">
        <v>118900</v>
      </c>
      <c r="L21" s="330">
        <f>+J21-K21</f>
        <v>109100</v>
      </c>
      <c r="M21" s="356"/>
      <c r="O21" s="305">
        <f t="shared" si="0"/>
        <v>0</v>
      </c>
    </row>
    <row r="22" spans="1:15" s="322" customFormat="1" ht="12">
      <c r="A22" s="357" t="s">
        <v>358</v>
      </c>
      <c r="B22" s="347" t="s">
        <v>30</v>
      </c>
      <c r="C22" s="348" t="s">
        <v>359</v>
      </c>
      <c r="D22" s="347" t="s">
        <v>84</v>
      </c>
      <c r="E22" s="347" t="s">
        <v>33</v>
      </c>
      <c r="F22" s="359">
        <v>41160</v>
      </c>
      <c r="G22" s="359">
        <v>41247</v>
      </c>
      <c r="H22" s="359">
        <v>41250</v>
      </c>
      <c r="I22" s="360">
        <v>140000</v>
      </c>
      <c r="J22" s="360"/>
      <c r="K22" s="360"/>
      <c r="L22" s="351"/>
      <c r="M22" s="352"/>
      <c r="O22" s="305">
        <f t="shared" si="0"/>
        <v>0</v>
      </c>
    </row>
    <row r="23" spans="1:15" s="322" customFormat="1" ht="12">
      <c r="A23" s="363" t="s">
        <v>360</v>
      </c>
      <c r="B23" s="281" t="s">
        <v>349</v>
      </c>
      <c r="C23" s="282" t="s">
        <v>359</v>
      </c>
      <c r="D23" s="281" t="s">
        <v>84</v>
      </c>
      <c r="E23" s="281" t="s">
        <v>33</v>
      </c>
      <c r="F23" s="288">
        <v>41160</v>
      </c>
      <c r="G23" s="288">
        <v>41247</v>
      </c>
      <c r="H23" s="288">
        <v>41250</v>
      </c>
      <c r="I23" s="289">
        <v>48941.9</v>
      </c>
      <c r="J23" s="289">
        <f>+I23+I22</f>
        <v>188941.9</v>
      </c>
      <c r="K23" s="289">
        <v>118900</v>
      </c>
      <c r="L23" s="285">
        <f>J23-K23</f>
        <v>70041.899999999994</v>
      </c>
      <c r="M23" s="364"/>
      <c r="O23" s="305">
        <f t="shared" si="0"/>
        <v>0</v>
      </c>
    </row>
    <row r="24" spans="1:15" s="322" customFormat="1" ht="12.6" thickBot="1">
      <c r="A24" s="362" t="s">
        <v>361</v>
      </c>
      <c r="B24" s="327" t="s">
        <v>349</v>
      </c>
      <c r="C24" s="326" t="s">
        <v>362</v>
      </c>
      <c r="D24" s="327" t="s">
        <v>43</v>
      </c>
      <c r="E24" s="327" t="s">
        <v>33</v>
      </c>
      <c r="F24" s="328">
        <v>41043</v>
      </c>
      <c r="G24" s="328">
        <v>41113</v>
      </c>
      <c r="H24" s="328">
        <v>41120</v>
      </c>
      <c r="I24" s="329">
        <v>358328.07</v>
      </c>
      <c r="J24" s="329"/>
      <c r="K24" s="329"/>
      <c r="L24" s="330"/>
      <c r="M24" s="356"/>
      <c r="O24" s="305">
        <f t="shared" si="0"/>
        <v>0</v>
      </c>
    </row>
    <row r="25" spans="1:15" s="322" customFormat="1" ht="12">
      <c r="A25" s="357" t="s">
        <v>363</v>
      </c>
      <c r="B25" s="347" t="s">
        <v>30</v>
      </c>
      <c r="C25" s="348" t="s">
        <v>362</v>
      </c>
      <c r="D25" s="347" t="s">
        <v>43</v>
      </c>
      <c r="E25" s="347" t="s">
        <v>33</v>
      </c>
      <c r="F25" s="359">
        <v>41043</v>
      </c>
      <c r="G25" s="359">
        <v>41113</v>
      </c>
      <c r="H25" s="359">
        <v>41116</v>
      </c>
      <c r="I25" s="360">
        <v>55000</v>
      </c>
      <c r="J25" s="360">
        <f>SUM(I24:I25)</f>
        <v>413328.07</v>
      </c>
      <c r="K25" s="360">
        <v>118900</v>
      </c>
      <c r="L25" s="351">
        <f>J25-K25</f>
        <v>294428.07</v>
      </c>
      <c r="M25" s="352"/>
      <c r="O25" s="305">
        <f t="shared" si="0"/>
        <v>0</v>
      </c>
    </row>
    <row r="26" spans="1:15" s="322" customFormat="1" ht="12.6" thickBot="1">
      <c r="A26" s="353" t="s">
        <v>364</v>
      </c>
      <c r="B26" s="327" t="s">
        <v>30</v>
      </c>
      <c r="C26" s="326" t="s">
        <v>365</v>
      </c>
      <c r="D26" s="327" t="s">
        <v>38</v>
      </c>
      <c r="E26" s="327" t="s">
        <v>33</v>
      </c>
      <c r="F26" s="354">
        <v>41037</v>
      </c>
      <c r="G26" s="354">
        <v>41093</v>
      </c>
      <c r="H26" s="354">
        <v>41106</v>
      </c>
      <c r="I26" s="355">
        <v>97799.66</v>
      </c>
      <c r="J26" s="355"/>
      <c r="K26" s="355"/>
      <c r="L26" s="330"/>
      <c r="M26" s="356"/>
      <c r="O26" s="305">
        <f t="shared" si="0"/>
        <v>0</v>
      </c>
    </row>
    <row r="27" spans="1:15" s="322" customFormat="1" ht="12">
      <c r="A27" s="346" t="s">
        <v>366</v>
      </c>
      <c r="B27" s="347" t="s">
        <v>349</v>
      </c>
      <c r="C27" s="348" t="s">
        <v>365</v>
      </c>
      <c r="D27" s="347" t="s">
        <v>38</v>
      </c>
      <c r="E27" s="347" t="s">
        <v>33</v>
      </c>
      <c r="F27" s="349">
        <v>41037</v>
      </c>
      <c r="G27" s="349">
        <v>41093</v>
      </c>
      <c r="H27" s="349">
        <v>41106</v>
      </c>
      <c r="I27" s="350">
        <v>992000</v>
      </c>
      <c r="J27" s="350">
        <f>+I27+I26</f>
        <v>1089799.6599999999</v>
      </c>
      <c r="K27" s="350">
        <v>118900</v>
      </c>
      <c r="L27" s="351">
        <f>J27-K27</f>
        <v>970899.65999999992</v>
      </c>
      <c r="M27" s="352"/>
      <c r="O27" s="305">
        <f t="shared" si="0"/>
        <v>368095.65999999992</v>
      </c>
    </row>
    <row r="28" spans="1:15" s="322" customFormat="1" ht="12.6" thickBot="1">
      <c r="A28" s="353" t="s">
        <v>367</v>
      </c>
      <c r="B28" s="327" t="s">
        <v>349</v>
      </c>
      <c r="C28" s="326" t="s">
        <v>368</v>
      </c>
      <c r="D28" s="327" t="s">
        <v>38</v>
      </c>
      <c r="E28" s="327" t="s">
        <v>33</v>
      </c>
      <c r="F28" s="354">
        <v>41161</v>
      </c>
      <c r="G28" s="354">
        <v>41215</v>
      </c>
      <c r="H28" s="354">
        <v>41219</v>
      </c>
      <c r="I28" s="355">
        <v>22960.25</v>
      </c>
      <c r="J28" s="355"/>
      <c r="K28" s="355"/>
      <c r="L28" s="330"/>
      <c r="M28" s="356"/>
      <c r="O28" s="305">
        <f t="shared" si="0"/>
        <v>0</v>
      </c>
    </row>
    <row r="29" spans="1:15" s="322" customFormat="1" ht="12">
      <c r="A29" s="365" t="s">
        <v>369</v>
      </c>
      <c r="B29" s="317" t="s">
        <v>30</v>
      </c>
      <c r="C29" s="318" t="s">
        <v>368</v>
      </c>
      <c r="D29" s="317" t="s">
        <v>38</v>
      </c>
      <c r="E29" s="317" t="s">
        <v>33</v>
      </c>
      <c r="F29" s="366">
        <v>41161</v>
      </c>
      <c r="G29" s="366">
        <v>41215</v>
      </c>
      <c r="H29" s="366">
        <v>41234</v>
      </c>
      <c r="I29" s="367">
        <v>28143.23</v>
      </c>
      <c r="J29" s="367"/>
      <c r="K29" s="367"/>
      <c r="L29" s="368"/>
      <c r="M29" s="369"/>
      <c r="O29" s="305">
        <f t="shared" si="0"/>
        <v>0</v>
      </c>
    </row>
    <row r="30" spans="1:15" s="322" customFormat="1" ht="12.6" thickBot="1">
      <c r="A30" s="353" t="s">
        <v>370</v>
      </c>
      <c r="B30" s="327" t="s">
        <v>349</v>
      </c>
      <c r="C30" s="326" t="s">
        <v>368</v>
      </c>
      <c r="D30" s="327" t="s">
        <v>38</v>
      </c>
      <c r="E30" s="327" t="s">
        <v>33</v>
      </c>
      <c r="F30" s="354">
        <v>41161</v>
      </c>
      <c r="G30" s="354">
        <v>41215</v>
      </c>
      <c r="H30" s="354">
        <v>41236</v>
      </c>
      <c r="I30" s="355">
        <v>72816.77</v>
      </c>
      <c r="J30" s="355">
        <f>SUM(I28:I30)</f>
        <v>123920.25</v>
      </c>
      <c r="K30" s="355">
        <v>118900</v>
      </c>
      <c r="L30" s="330">
        <f>J30-K30</f>
        <v>5020.25</v>
      </c>
      <c r="M30" s="356"/>
      <c r="O30" s="305">
        <f t="shared" si="0"/>
        <v>0</v>
      </c>
    </row>
    <row r="31" spans="1:15" s="322" customFormat="1" ht="12">
      <c r="A31" s="365" t="s">
        <v>371</v>
      </c>
      <c r="B31" s="317" t="s">
        <v>349</v>
      </c>
      <c r="C31" s="318" t="s">
        <v>372</v>
      </c>
      <c r="D31" s="317" t="s">
        <v>373</v>
      </c>
      <c r="E31" s="317" t="s">
        <v>33</v>
      </c>
      <c r="F31" s="366">
        <v>41063</v>
      </c>
      <c r="G31" s="366">
        <v>41115</v>
      </c>
      <c r="H31" s="366">
        <v>41117</v>
      </c>
      <c r="I31" s="367">
        <v>319577.40999999997</v>
      </c>
      <c r="J31" s="367"/>
      <c r="K31" s="367"/>
      <c r="L31" s="368"/>
      <c r="M31" s="369"/>
      <c r="O31" s="305">
        <f t="shared" si="0"/>
        <v>0</v>
      </c>
    </row>
    <row r="32" spans="1:15" s="322" customFormat="1" ht="12.6" thickBot="1">
      <c r="A32" s="353" t="s">
        <v>374</v>
      </c>
      <c r="B32" s="327" t="s">
        <v>30</v>
      </c>
      <c r="C32" s="326" t="s">
        <v>372</v>
      </c>
      <c r="D32" s="327" t="s">
        <v>373</v>
      </c>
      <c r="E32" s="327" t="s">
        <v>33</v>
      </c>
      <c r="F32" s="354">
        <v>41063</v>
      </c>
      <c r="G32" s="354">
        <v>41115</v>
      </c>
      <c r="H32" s="354">
        <v>41117</v>
      </c>
      <c r="I32" s="355">
        <v>103000</v>
      </c>
      <c r="J32" s="355">
        <f>SUM(I31:I32)</f>
        <v>422577.41</v>
      </c>
      <c r="K32" s="355">
        <v>118900</v>
      </c>
      <c r="L32" s="330">
        <f>J32-K32</f>
        <v>303677.40999999997</v>
      </c>
      <c r="M32" s="356"/>
      <c r="O32" s="305">
        <f t="shared" si="0"/>
        <v>0</v>
      </c>
    </row>
    <row r="33" spans="1:15" s="322" customFormat="1" ht="12">
      <c r="A33" s="365" t="s">
        <v>1291</v>
      </c>
      <c r="B33" s="317" t="s">
        <v>23</v>
      </c>
      <c r="C33" s="318" t="s">
        <v>1294</v>
      </c>
      <c r="D33" s="317" t="s">
        <v>38</v>
      </c>
      <c r="E33" s="317" t="s">
        <v>33</v>
      </c>
      <c r="F33" s="366">
        <v>41244</v>
      </c>
      <c r="G33" s="366">
        <v>41407</v>
      </c>
      <c r="H33" s="366">
        <v>41421</v>
      </c>
      <c r="I33" s="367">
        <v>53933.29</v>
      </c>
      <c r="J33" s="367"/>
      <c r="K33" s="367"/>
      <c r="L33" s="368"/>
      <c r="M33" s="369"/>
      <c r="O33" s="305">
        <f t="shared" si="0"/>
        <v>0</v>
      </c>
    </row>
    <row r="34" spans="1:15" s="322" customFormat="1" ht="12.6" thickBot="1">
      <c r="A34" s="353" t="s">
        <v>1292</v>
      </c>
      <c r="B34" s="327" t="s">
        <v>28</v>
      </c>
      <c r="C34" s="326" t="s">
        <v>1294</v>
      </c>
      <c r="D34" s="327" t="s">
        <v>38</v>
      </c>
      <c r="E34" s="327" t="s">
        <v>33</v>
      </c>
      <c r="F34" s="354">
        <v>41244</v>
      </c>
      <c r="G34" s="354">
        <v>41407</v>
      </c>
      <c r="H34" s="354">
        <v>41421</v>
      </c>
      <c r="I34" s="355">
        <v>229902.82</v>
      </c>
      <c r="J34" s="355">
        <f>+I34+I33</f>
        <v>283836.11</v>
      </c>
      <c r="K34" s="355">
        <v>118900</v>
      </c>
      <c r="L34" s="330">
        <f>+J34-K34</f>
        <v>164936.10999999999</v>
      </c>
      <c r="M34" s="356"/>
      <c r="O34" s="305">
        <f t="shared" si="0"/>
        <v>0</v>
      </c>
    </row>
    <row r="35" spans="1:15" s="322" customFormat="1" ht="12">
      <c r="A35" s="346" t="s">
        <v>1293</v>
      </c>
      <c r="B35" s="347" t="s">
        <v>250</v>
      </c>
      <c r="C35" s="348" t="s">
        <v>1294</v>
      </c>
      <c r="D35" s="347" t="s">
        <v>38</v>
      </c>
      <c r="E35" s="347" t="s">
        <v>33</v>
      </c>
      <c r="F35" s="349">
        <v>41244</v>
      </c>
      <c r="G35" s="349">
        <v>41407</v>
      </c>
      <c r="H35" s="349">
        <v>41421</v>
      </c>
      <c r="I35" s="350">
        <v>5000</v>
      </c>
      <c r="J35" s="350"/>
      <c r="K35" s="350"/>
      <c r="L35" s="351"/>
      <c r="M35" s="352"/>
      <c r="O35" s="305">
        <f t="shared" si="0"/>
        <v>0</v>
      </c>
    </row>
    <row r="36" spans="1:15" s="322" customFormat="1" ht="12.6" thickBot="1">
      <c r="A36" s="353" t="s">
        <v>1304</v>
      </c>
      <c r="B36" s="327" t="s">
        <v>23</v>
      </c>
      <c r="C36" s="326" t="s">
        <v>1294</v>
      </c>
      <c r="D36" s="327" t="s">
        <v>38</v>
      </c>
      <c r="E36" s="327" t="s">
        <v>33</v>
      </c>
      <c r="F36" s="354">
        <v>41244</v>
      </c>
      <c r="G36" s="354">
        <v>41430</v>
      </c>
      <c r="H36" s="354">
        <v>41449</v>
      </c>
      <c r="I36" s="355">
        <v>105000</v>
      </c>
      <c r="J36" s="355"/>
      <c r="K36" s="355"/>
      <c r="L36" s="330"/>
      <c r="M36" s="356"/>
      <c r="O36" s="305">
        <f t="shared" si="0"/>
        <v>0</v>
      </c>
    </row>
    <row r="37" spans="1:15" s="322" customFormat="1" ht="12.6" thickBot="1">
      <c r="A37" s="332" t="s">
        <v>1305</v>
      </c>
      <c r="B37" s="333" t="s">
        <v>28</v>
      </c>
      <c r="C37" s="334" t="s">
        <v>1294</v>
      </c>
      <c r="D37" s="333" t="s">
        <v>38</v>
      </c>
      <c r="E37" s="333" t="s">
        <v>33</v>
      </c>
      <c r="F37" s="335">
        <v>41244</v>
      </c>
      <c r="G37" s="335">
        <v>41430</v>
      </c>
      <c r="H37" s="335">
        <v>41449</v>
      </c>
      <c r="I37" s="336">
        <v>150000</v>
      </c>
      <c r="J37" s="336"/>
      <c r="K37" s="336"/>
      <c r="L37" s="337"/>
      <c r="M37" s="338"/>
      <c r="O37" s="305">
        <f t="shared" si="0"/>
        <v>0</v>
      </c>
    </row>
    <row r="38" spans="1:15" s="322" customFormat="1" ht="12">
      <c r="A38" s="365" t="s">
        <v>1306</v>
      </c>
      <c r="B38" s="317" t="s">
        <v>36</v>
      </c>
      <c r="C38" s="318" t="s">
        <v>1294</v>
      </c>
      <c r="D38" s="317" t="s">
        <v>38</v>
      </c>
      <c r="E38" s="317" t="s">
        <v>33</v>
      </c>
      <c r="F38" s="366">
        <v>41244</v>
      </c>
      <c r="G38" s="366">
        <v>41430</v>
      </c>
      <c r="H38" s="366">
        <v>41449</v>
      </c>
      <c r="I38" s="367">
        <v>416784.44</v>
      </c>
      <c r="J38" s="367">
        <f>SUM(I35:I38)</f>
        <v>676784.44</v>
      </c>
      <c r="K38" s="367">
        <v>118900</v>
      </c>
      <c r="L38" s="368">
        <f>+J38-K38</f>
        <v>557884.43999999994</v>
      </c>
      <c r="M38" s="369"/>
      <c r="O38" s="305">
        <f t="shared" si="0"/>
        <v>0</v>
      </c>
    </row>
    <row r="39" spans="1:15" s="322" customFormat="1" ht="12.6" thickBot="1">
      <c r="A39" s="353" t="s">
        <v>375</v>
      </c>
      <c r="B39" s="327" t="s">
        <v>30</v>
      </c>
      <c r="C39" s="326" t="s">
        <v>376</v>
      </c>
      <c r="D39" s="327" t="s">
        <v>377</v>
      </c>
      <c r="E39" s="327" t="s">
        <v>33</v>
      </c>
      <c r="F39" s="354">
        <v>40932</v>
      </c>
      <c r="G39" s="354">
        <v>40960</v>
      </c>
      <c r="H39" s="354">
        <v>40977</v>
      </c>
      <c r="I39" s="355">
        <v>43467.98</v>
      </c>
      <c r="J39" s="355"/>
      <c r="K39" s="355"/>
      <c r="L39" s="330"/>
      <c r="M39" s="356"/>
      <c r="O39" s="305">
        <f t="shared" si="0"/>
        <v>0</v>
      </c>
    </row>
    <row r="40" spans="1:15" s="322" customFormat="1" ht="12">
      <c r="A40" s="365" t="s">
        <v>378</v>
      </c>
      <c r="B40" s="317" t="s">
        <v>349</v>
      </c>
      <c r="C40" s="318" t="s">
        <v>376</v>
      </c>
      <c r="D40" s="317" t="s">
        <v>377</v>
      </c>
      <c r="E40" s="317" t="s">
        <v>33</v>
      </c>
      <c r="F40" s="366">
        <v>40932</v>
      </c>
      <c r="G40" s="366">
        <v>40960</v>
      </c>
      <c r="H40" s="366">
        <v>41040</v>
      </c>
      <c r="I40" s="367">
        <v>125544.55</v>
      </c>
      <c r="J40" s="367">
        <f>I39+I40</f>
        <v>169012.53</v>
      </c>
      <c r="K40" s="367">
        <v>118900</v>
      </c>
      <c r="L40" s="368">
        <f>J40-K40</f>
        <v>50112.53</v>
      </c>
      <c r="M40" s="369"/>
      <c r="O40" s="305">
        <f t="shared" si="0"/>
        <v>0</v>
      </c>
    </row>
    <row r="41" spans="1:15" s="322" customFormat="1" ht="12.6" thickBot="1">
      <c r="A41" s="353" t="s">
        <v>379</v>
      </c>
      <c r="B41" s="327" t="s">
        <v>30</v>
      </c>
      <c r="C41" s="326" t="s">
        <v>380</v>
      </c>
      <c r="D41" s="327" t="s">
        <v>381</v>
      </c>
      <c r="E41" s="327" t="s">
        <v>33</v>
      </c>
      <c r="F41" s="354">
        <v>40930</v>
      </c>
      <c r="G41" s="354">
        <v>40977</v>
      </c>
      <c r="H41" s="354">
        <v>40983</v>
      </c>
      <c r="I41" s="355">
        <v>138590.37</v>
      </c>
      <c r="J41" s="355"/>
      <c r="K41" s="355"/>
      <c r="L41" s="330"/>
      <c r="M41" s="356"/>
      <c r="O41" s="305">
        <f t="shared" si="0"/>
        <v>0</v>
      </c>
    </row>
    <row r="42" spans="1:15" s="322" customFormat="1" ht="12">
      <c r="A42" s="365" t="s">
        <v>382</v>
      </c>
      <c r="B42" s="317" t="s">
        <v>349</v>
      </c>
      <c r="C42" s="318" t="s">
        <v>380</v>
      </c>
      <c r="D42" s="317" t="s">
        <v>381</v>
      </c>
      <c r="E42" s="317" t="s">
        <v>33</v>
      </c>
      <c r="F42" s="366">
        <v>40930</v>
      </c>
      <c r="G42" s="366">
        <v>40977</v>
      </c>
      <c r="H42" s="366">
        <v>40983</v>
      </c>
      <c r="I42" s="367">
        <v>2160.25</v>
      </c>
      <c r="J42" s="367">
        <f>I41+I42</f>
        <v>140750.62</v>
      </c>
      <c r="K42" s="367">
        <v>118900</v>
      </c>
      <c r="L42" s="368">
        <f>J42-K42</f>
        <v>21850.619999999995</v>
      </c>
      <c r="M42" s="369"/>
      <c r="O42" s="305">
        <f t="shared" si="0"/>
        <v>0</v>
      </c>
    </row>
    <row r="43" spans="1:15" s="322" customFormat="1" ht="12.6" thickBot="1">
      <c r="A43" s="353" t="s">
        <v>383</v>
      </c>
      <c r="B43" s="327" t="s">
        <v>349</v>
      </c>
      <c r="C43" s="326" t="s">
        <v>384</v>
      </c>
      <c r="D43" s="327" t="s">
        <v>25</v>
      </c>
      <c r="E43" s="327" t="s">
        <v>26</v>
      </c>
      <c r="F43" s="354">
        <v>41149</v>
      </c>
      <c r="G43" s="354">
        <v>41205</v>
      </c>
      <c r="H43" s="354">
        <v>41206</v>
      </c>
      <c r="I43" s="355">
        <v>89962.7</v>
      </c>
      <c r="J43" s="355"/>
      <c r="K43" s="355"/>
      <c r="L43" s="330"/>
      <c r="M43" s="356"/>
      <c r="O43" s="305">
        <f t="shared" si="0"/>
        <v>0</v>
      </c>
    </row>
    <row r="44" spans="1:15" s="322" customFormat="1" ht="12">
      <c r="A44" s="365" t="s">
        <v>385</v>
      </c>
      <c r="B44" s="317" t="s">
        <v>30</v>
      </c>
      <c r="C44" s="318" t="s">
        <v>384</v>
      </c>
      <c r="D44" s="317" t="s">
        <v>25</v>
      </c>
      <c r="E44" s="317" t="s">
        <v>26</v>
      </c>
      <c r="F44" s="366">
        <v>41149</v>
      </c>
      <c r="G44" s="366">
        <v>41205</v>
      </c>
      <c r="H44" s="366">
        <v>41206</v>
      </c>
      <c r="I44" s="367">
        <v>97568.54</v>
      </c>
      <c r="J44" s="367">
        <f>+I44+I43</f>
        <v>187531.24</v>
      </c>
      <c r="K44" s="367">
        <v>118900</v>
      </c>
      <c r="L44" s="368">
        <f>J44-K44</f>
        <v>68631.239999999991</v>
      </c>
      <c r="M44" s="369"/>
      <c r="O44" s="305">
        <f t="shared" si="0"/>
        <v>0</v>
      </c>
    </row>
    <row r="45" spans="1:15" s="322" customFormat="1" ht="12.6" thickBot="1">
      <c r="A45" s="353" t="s">
        <v>386</v>
      </c>
      <c r="B45" s="327" t="s">
        <v>30</v>
      </c>
      <c r="C45" s="326" t="s">
        <v>387</v>
      </c>
      <c r="D45" s="327" t="s">
        <v>38</v>
      </c>
      <c r="E45" s="327" t="s">
        <v>33</v>
      </c>
      <c r="F45" s="354">
        <v>41075</v>
      </c>
      <c r="G45" s="354">
        <v>41102</v>
      </c>
      <c r="H45" s="354">
        <v>41113</v>
      </c>
      <c r="I45" s="355">
        <v>37941.269999999997</v>
      </c>
      <c r="J45" s="355"/>
      <c r="K45" s="355"/>
      <c r="L45" s="330"/>
      <c r="M45" s="356"/>
      <c r="O45" s="305">
        <f t="shared" si="0"/>
        <v>0</v>
      </c>
    </row>
    <row r="46" spans="1:15" s="322" customFormat="1" ht="12">
      <c r="A46" s="365" t="s">
        <v>388</v>
      </c>
      <c r="B46" s="317" t="s">
        <v>349</v>
      </c>
      <c r="C46" s="318" t="s">
        <v>387</v>
      </c>
      <c r="D46" s="317" t="s">
        <v>38</v>
      </c>
      <c r="E46" s="317" t="s">
        <v>33</v>
      </c>
      <c r="F46" s="366">
        <v>41075</v>
      </c>
      <c r="G46" s="366">
        <v>41102</v>
      </c>
      <c r="H46" s="366">
        <v>41113</v>
      </c>
      <c r="I46" s="367">
        <v>101617.93</v>
      </c>
      <c r="J46" s="367">
        <f>+I46+I45</f>
        <v>139559.19999999998</v>
      </c>
      <c r="K46" s="367">
        <v>118900</v>
      </c>
      <c r="L46" s="368">
        <f>J46-K46</f>
        <v>20659.199999999983</v>
      </c>
      <c r="M46" s="369"/>
      <c r="O46" s="305">
        <f t="shared" si="0"/>
        <v>0</v>
      </c>
    </row>
    <row r="47" spans="1:15" s="322" customFormat="1" ht="12.6" thickBot="1">
      <c r="A47" s="353" t="s">
        <v>389</v>
      </c>
      <c r="B47" s="327" t="s">
        <v>30</v>
      </c>
      <c r="C47" s="326" t="s">
        <v>390</v>
      </c>
      <c r="D47" s="327" t="s">
        <v>391</v>
      </c>
      <c r="E47" s="327" t="s">
        <v>33</v>
      </c>
      <c r="F47" s="354">
        <v>41165</v>
      </c>
      <c r="G47" s="354">
        <v>41256</v>
      </c>
      <c r="H47" s="354">
        <v>41263</v>
      </c>
      <c r="I47" s="355">
        <v>188154.1</v>
      </c>
      <c r="J47" s="355"/>
      <c r="K47" s="355"/>
      <c r="L47" s="330"/>
      <c r="M47" s="356"/>
      <c r="O47" s="305">
        <f t="shared" si="0"/>
        <v>0</v>
      </c>
    </row>
    <row r="48" spans="1:15" s="322" customFormat="1" ht="12">
      <c r="A48" s="365" t="s">
        <v>392</v>
      </c>
      <c r="B48" s="317" t="s">
        <v>393</v>
      </c>
      <c r="C48" s="318" t="s">
        <v>390</v>
      </c>
      <c r="D48" s="317" t="s">
        <v>391</v>
      </c>
      <c r="E48" s="317" t="s">
        <v>33</v>
      </c>
      <c r="F48" s="366">
        <v>41165</v>
      </c>
      <c r="G48" s="366">
        <v>41256</v>
      </c>
      <c r="H48" s="366">
        <v>41263</v>
      </c>
      <c r="I48" s="367">
        <v>10000</v>
      </c>
      <c r="J48" s="367">
        <f>SUM(I47:I48)</f>
        <v>198154.1</v>
      </c>
      <c r="K48" s="367">
        <v>118900</v>
      </c>
      <c r="L48" s="368">
        <f>J48-K48</f>
        <v>79254.100000000006</v>
      </c>
      <c r="M48" s="369"/>
      <c r="O48" s="305">
        <f t="shared" si="0"/>
        <v>0</v>
      </c>
    </row>
    <row r="49" spans="1:15" s="322" customFormat="1" ht="12">
      <c r="A49" s="370" t="s">
        <v>394</v>
      </c>
      <c r="B49" s="281" t="s">
        <v>349</v>
      </c>
      <c r="C49" s="282" t="s">
        <v>395</v>
      </c>
      <c r="D49" s="281" t="s">
        <v>38</v>
      </c>
      <c r="E49" s="281" t="s">
        <v>33</v>
      </c>
      <c r="F49" s="283">
        <v>41011</v>
      </c>
      <c r="G49" s="283">
        <v>41067</v>
      </c>
      <c r="H49" s="283">
        <v>41074</v>
      </c>
      <c r="I49" s="284">
        <v>313851.8</v>
      </c>
      <c r="J49" s="284">
        <f>+I49</f>
        <v>313851.8</v>
      </c>
      <c r="K49" s="284">
        <v>118900</v>
      </c>
      <c r="L49" s="285">
        <f>J49-K49</f>
        <v>194951.8</v>
      </c>
      <c r="M49" s="364"/>
      <c r="O49" s="305">
        <f t="shared" si="0"/>
        <v>0</v>
      </c>
    </row>
    <row r="50" spans="1:15" s="322" customFormat="1" ht="12.6" thickBot="1">
      <c r="A50" s="353" t="s">
        <v>1278</v>
      </c>
      <c r="B50" s="327" t="s">
        <v>30</v>
      </c>
      <c r="C50" s="326" t="s">
        <v>1280</v>
      </c>
      <c r="D50" s="327" t="s">
        <v>1281</v>
      </c>
      <c r="E50" s="327" t="s">
        <v>33</v>
      </c>
      <c r="F50" s="354">
        <v>41253</v>
      </c>
      <c r="G50" s="354">
        <v>41411</v>
      </c>
      <c r="H50" s="354">
        <v>41415</v>
      </c>
      <c r="I50" s="355">
        <v>36689.629999999997</v>
      </c>
      <c r="J50" s="355"/>
      <c r="K50" s="355"/>
      <c r="L50" s="330"/>
      <c r="M50" s="356"/>
      <c r="O50" s="305">
        <f t="shared" si="0"/>
        <v>0</v>
      </c>
    </row>
    <row r="51" spans="1:15" s="322" customFormat="1" ht="12">
      <c r="A51" s="365" t="s">
        <v>1279</v>
      </c>
      <c r="B51" s="317" t="s">
        <v>28</v>
      </c>
      <c r="C51" s="318" t="s">
        <v>1280</v>
      </c>
      <c r="D51" s="317" t="s">
        <v>1281</v>
      </c>
      <c r="E51" s="317" t="s">
        <v>33</v>
      </c>
      <c r="F51" s="366">
        <v>41253</v>
      </c>
      <c r="G51" s="366">
        <v>41411</v>
      </c>
      <c r="H51" s="366">
        <v>41415</v>
      </c>
      <c r="I51" s="367">
        <v>96617.81</v>
      </c>
      <c r="J51" s="367">
        <f>+I51+I50</f>
        <v>133307.44</v>
      </c>
      <c r="K51" s="367">
        <v>118900</v>
      </c>
      <c r="L51" s="368">
        <f>+J51-K51</f>
        <v>14407.440000000002</v>
      </c>
      <c r="M51" s="369"/>
      <c r="O51" s="305">
        <f t="shared" si="0"/>
        <v>0</v>
      </c>
    </row>
    <row r="52" spans="1:15" s="322" customFormat="1" ht="12">
      <c r="A52" s="370" t="s">
        <v>1213</v>
      </c>
      <c r="B52" s="281" t="s">
        <v>30</v>
      </c>
      <c r="C52" s="282" t="s">
        <v>1225</v>
      </c>
      <c r="D52" s="281" t="s">
        <v>1232</v>
      </c>
      <c r="E52" s="281" t="s">
        <v>33</v>
      </c>
      <c r="F52" s="283">
        <v>41255</v>
      </c>
      <c r="G52" s="283">
        <v>41319</v>
      </c>
      <c r="H52" s="283">
        <v>41327</v>
      </c>
      <c r="I52" s="284">
        <v>35114.400000000001</v>
      </c>
      <c r="J52" s="284"/>
      <c r="K52" s="284"/>
      <c r="L52" s="285"/>
      <c r="M52" s="364"/>
      <c r="O52" s="305">
        <f t="shared" si="0"/>
        <v>0</v>
      </c>
    </row>
    <row r="53" spans="1:15" s="322" customFormat="1" ht="12.6" thickBot="1">
      <c r="A53" s="353" t="s">
        <v>1214</v>
      </c>
      <c r="B53" s="327" t="s">
        <v>28</v>
      </c>
      <c r="C53" s="326" t="s">
        <v>1225</v>
      </c>
      <c r="D53" s="327" t="s">
        <v>1232</v>
      </c>
      <c r="E53" s="327" t="s">
        <v>33</v>
      </c>
      <c r="F53" s="354">
        <v>41255</v>
      </c>
      <c r="G53" s="354">
        <v>41319</v>
      </c>
      <c r="H53" s="354">
        <v>41327</v>
      </c>
      <c r="I53" s="355">
        <v>179635.11</v>
      </c>
      <c r="J53" s="355">
        <f>+I53+I52</f>
        <v>214749.50999999998</v>
      </c>
      <c r="K53" s="355">
        <v>118900</v>
      </c>
      <c r="L53" s="330">
        <f>+J53-K53</f>
        <v>95849.50999999998</v>
      </c>
      <c r="M53" s="356"/>
      <c r="O53" s="305">
        <f t="shared" si="0"/>
        <v>0</v>
      </c>
    </row>
    <row r="54" spans="1:15" s="322" customFormat="1" ht="12">
      <c r="A54" s="365" t="s">
        <v>396</v>
      </c>
      <c r="B54" s="317" t="s">
        <v>30</v>
      </c>
      <c r="C54" s="318" t="s">
        <v>397</v>
      </c>
      <c r="D54" s="317" t="s">
        <v>398</v>
      </c>
      <c r="E54" s="317" t="s">
        <v>33</v>
      </c>
      <c r="F54" s="366">
        <v>40948</v>
      </c>
      <c r="G54" s="366">
        <v>40982</v>
      </c>
      <c r="H54" s="366">
        <v>40987</v>
      </c>
      <c r="I54" s="367">
        <v>74825.84</v>
      </c>
      <c r="J54" s="367"/>
      <c r="K54" s="367"/>
      <c r="L54" s="368"/>
      <c r="M54" s="369"/>
      <c r="O54" s="305">
        <f t="shared" si="0"/>
        <v>0</v>
      </c>
    </row>
    <row r="55" spans="1:15" s="322" customFormat="1" ht="12">
      <c r="A55" s="370" t="s">
        <v>399</v>
      </c>
      <c r="B55" s="281" t="s">
        <v>349</v>
      </c>
      <c r="C55" s="282" t="s">
        <v>397</v>
      </c>
      <c r="D55" s="281" t="s">
        <v>398</v>
      </c>
      <c r="E55" s="281" t="s">
        <v>33</v>
      </c>
      <c r="F55" s="283">
        <v>40948</v>
      </c>
      <c r="G55" s="283">
        <v>40982</v>
      </c>
      <c r="H55" s="283">
        <v>40987</v>
      </c>
      <c r="I55" s="284">
        <v>151641.75</v>
      </c>
      <c r="J55" s="284">
        <f>I54+I55</f>
        <v>226467.59</v>
      </c>
      <c r="K55" s="284">
        <v>118900</v>
      </c>
      <c r="L55" s="285">
        <f>J55-K55</f>
        <v>107567.59</v>
      </c>
      <c r="M55" s="364"/>
      <c r="O55" s="305">
        <f t="shared" si="0"/>
        <v>0</v>
      </c>
    </row>
    <row r="56" spans="1:15" s="322" customFormat="1" ht="12.6" thickBot="1">
      <c r="A56" s="353" t="s">
        <v>400</v>
      </c>
      <c r="B56" s="327" t="s">
        <v>30</v>
      </c>
      <c r="C56" s="326" t="s">
        <v>401</v>
      </c>
      <c r="D56" s="327" t="s">
        <v>290</v>
      </c>
      <c r="E56" s="327" t="s">
        <v>33</v>
      </c>
      <c r="F56" s="354">
        <v>41192</v>
      </c>
      <c r="G56" s="354">
        <v>41234</v>
      </c>
      <c r="H56" s="354">
        <v>41254</v>
      </c>
      <c r="I56" s="355">
        <v>115000</v>
      </c>
      <c r="J56" s="355"/>
      <c r="K56" s="355"/>
      <c r="L56" s="330"/>
      <c r="M56" s="356"/>
      <c r="O56" s="305">
        <f t="shared" si="0"/>
        <v>0</v>
      </c>
    </row>
    <row r="57" spans="1:15" s="322" customFormat="1" ht="12">
      <c r="A57" s="365" t="s">
        <v>402</v>
      </c>
      <c r="B57" s="317" t="s">
        <v>349</v>
      </c>
      <c r="C57" s="318" t="s">
        <v>401</v>
      </c>
      <c r="D57" s="317" t="s">
        <v>290</v>
      </c>
      <c r="E57" s="317" t="s">
        <v>33</v>
      </c>
      <c r="F57" s="366">
        <v>41192</v>
      </c>
      <c r="G57" s="366">
        <v>41234</v>
      </c>
      <c r="H57" s="366">
        <v>41254</v>
      </c>
      <c r="I57" s="367">
        <v>133000</v>
      </c>
      <c r="J57" s="367">
        <f>SUM(I56:I57)</f>
        <v>248000</v>
      </c>
      <c r="K57" s="367">
        <v>118900</v>
      </c>
      <c r="L57" s="368">
        <f>J57-K57</f>
        <v>129100</v>
      </c>
      <c r="M57" s="369"/>
      <c r="O57" s="305">
        <f t="shared" si="0"/>
        <v>0</v>
      </c>
    </row>
    <row r="58" spans="1:15" s="322" customFormat="1" ht="12.6" thickBot="1">
      <c r="A58" s="353" t="s">
        <v>1323</v>
      </c>
      <c r="B58" s="327" t="s">
        <v>30</v>
      </c>
      <c r="C58" s="326" t="s">
        <v>1324</v>
      </c>
      <c r="D58" s="327" t="s">
        <v>26</v>
      </c>
      <c r="E58" s="327" t="s">
        <v>33</v>
      </c>
      <c r="F58" s="354">
        <v>41182</v>
      </c>
      <c r="G58" s="354">
        <v>41842</v>
      </c>
      <c r="H58" s="354">
        <v>41849</v>
      </c>
      <c r="I58" s="355">
        <v>203000</v>
      </c>
      <c r="J58" s="355">
        <f>+I58</f>
        <v>203000</v>
      </c>
      <c r="K58" s="355">
        <v>118900</v>
      </c>
      <c r="L58" s="330">
        <f>+J58-K58</f>
        <v>84100</v>
      </c>
      <c r="M58" s="356"/>
      <c r="O58" s="305">
        <f t="shared" si="0"/>
        <v>0</v>
      </c>
    </row>
    <row r="59" spans="1:15" s="322" customFormat="1" ht="12">
      <c r="A59" s="365" t="s">
        <v>403</v>
      </c>
      <c r="B59" s="317" t="s">
        <v>30</v>
      </c>
      <c r="C59" s="318" t="s">
        <v>404</v>
      </c>
      <c r="D59" s="317" t="s">
        <v>405</v>
      </c>
      <c r="E59" s="317" t="s">
        <v>33</v>
      </c>
      <c r="F59" s="366">
        <v>40965</v>
      </c>
      <c r="G59" s="366">
        <v>41001</v>
      </c>
      <c r="H59" s="366">
        <v>41015</v>
      </c>
      <c r="I59" s="367">
        <v>55000</v>
      </c>
      <c r="J59" s="367"/>
      <c r="K59" s="367"/>
      <c r="L59" s="368"/>
      <c r="M59" s="369"/>
      <c r="O59" s="305">
        <f t="shared" si="0"/>
        <v>0</v>
      </c>
    </row>
    <row r="60" spans="1:15" s="322" customFormat="1" ht="12">
      <c r="A60" s="370" t="s">
        <v>406</v>
      </c>
      <c r="B60" s="281" t="s">
        <v>349</v>
      </c>
      <c r="C60" s="282" t="s">
        <v>404</v>
      </c>
      <c r="D60" s="281" t="s">
        <v>405</v>
      </c>
      <c r="E60" s="281" t="s">
        <v>33</v>
      </c>
      <c r="F60" s="283">
        <v>40965</v>
      </c>
      <c r="G60" s="283">
        <v>41001</v>
      </c>
      <c r="H60" s="283">
        <v>41015</v>
      </c>
      <c r="I60" s="284">
        <v>203454.91</v>
      </c>
      <c r="J60" s="284">
        <f>I59+I60</f>
        <v>258454.91</v>
      </c>
      <c r="K60" s="284">
        <v>118900</v>
      </c>
      <c r="L60" s="285">
        <f>J60-K60</f>
        <v>139554.91</v>
      </c>
      <c r="M60" s="364"/>
      <c r="O60" s="305">
        <f t="shared" si="0"/>
        <v>0</v>
      </c>
    </row>
    <row r="61" spans="1:15" s="322" customFormat="1" ht="12.6" thickBot="1">
      <c r="A61" s="353" t="s">
        <v>407</v>
      </c>
      <c r="B61" s="327" t="s">
        <v>349</v>
      </c>
      <c r="C61" s="326" t="s">
        <v>408</v>
      </c>
      <c r="D61" s="327" t="s">
        <v>38</v>
      </c>
      <c r="E61" s="327" t="s">
        <v>33</v>
      </c>
      <c r="F61" s="354">
        <v>41041</v>
      </c>
      <c r="G61" s="354">
        <v>41115</v>
      </c>
      <c r="H61" s="354">
        <v>41127</v>
      </c>
      <c r="I61" s="355">
        <v>500000</v>
      </c>
      <c r="J61" s="355"/>
      <c r="K61" s="355"/>
      <c r="L61" s="330"/>
      <c r="M61" s="356"/>
      <c r="O61" s="305">
        <f t="shared" si="0"/>
        <v>0</v>
      </c>
    </row>
    <row r="62" spans="1:15" s="322" customFormat="1" ht="12">
      <c r="A62" s="365" t="s">
        <v>409</v>
      </c>
      <c r="B62" s="317" t="s">
        <v>30</v>
      </c>
      <c r="C62" s="318" t="s">
        <v>408</v>
      </c>
      <c r="D62" s="317" t="s">
        <v>38</v>
      </c>
      <c r="E62" s="317" t="s">
        <v>33</v>
      </c>
      <c r="F62" s="366">
        <v>41041</v>
      </c>
      <c r="G62" s="366">
        <v>41115</v>
      </c>
      <c r="H62" s="366">
        <v>41206</v>
      </c>
      <c r="I62" s="367">
        <v>77088.489999999991</v>
      </c>
      <c r="J62" s="367">
        <f>SUM(I61:I62)</f>
        <v>577088.49</v>
      </c>
      <c r="K62" s="367">
        <v>118900</v>
      </c>
      <c r="L62" s="368">
        <f>J62-K62</f>
        <v>458188.49</v>
      </c>
      <c r="M62" s="369"/>
      <c r="O62" s="305">
        <f t="shared" si="0"/>
        <v>0</v>
      </c>
    </row>
    <row r="63" spans="1:15" s="322" customFormat="1" ht="12">
      <c r="A63" s="370" t="s">
        <v>410</v>
      </c>
      <c r="B63" s="281" t="s">
        <v>30</v>
      </c>
      <c r="C63" s="282" t="s">
        <v>411</v>
      </c>
      <c r="D63" s="281" t="s">
        <v>38</v>
      </c>
      <c r="E63" s="281" t="s">
        <v>33</v>
      </c>
      <c r="F63" s="283">
        <v>41035</v>
      </c>
      <c r="G63" s="283">
        <v>41095</v>
      </c>
      <c r="H63" s="283">
        <v>41096</v>
      </c>
      <c r="I63" s="284">
        <v>52027.12</v>
      </c>
      <c r="J63" s="284"/>
      <c r="K63" s="284"/>
      <c r="L63" s="285"/>
      <c r="M63" s="364"/>
      <c r="O63" s="305">
        <f t="shared" si="0"/>
        <v>0</v>
      </c>
    </row>
    <row r="64" spans="1:15" s="322" customFormat="1" ht="12">
      <c r="A64" s="370" t="s">
        <v>412</v>
      </c>
      <c r="B64" s="281" t="s">
        <v>349</v>
      </c>
      <c r="C64" s="282" t="s">
        <v>411</v>
      </c>
      <c r="D64" s="281" t="s">
        <v>38</v>
      </c>
      <c r="E64" s="281" t="s">
        <v>33</v>
      </c>
      <c r="F64" s="283">
        <v>41035</v>
      </c>
      <c r="G64" s="283">
        <v>41095</v>
      </c>
      <c r="H64" s="283">
        <v>41096</v>
      </c>
      <c r="I64" s="284">
        <v>75271</v>
      </c>
      <c r="J64" s="284">
        <f>SUM(I63:I64)</f>
        <v>127298.12</v>
      </c>
      <c r="K64" s="284">
        <v>118900</v>
      </c>
      <c r="L64" s="285">
        <f>J64-K64</f>
        <v>8398.1199999999953</v>
      </c>
      <c r="M64" s="364"/>
      <c r="O64" s="305">
        <f t="shared" si="0"/>
        <v>0</v>
      </c>
    </row>
    <row r="65" spans="1:15" s="322" customFormat="1" ht="12">
      <c r="A65" s="370" t="s">
        <v>1295</v>
      </c>
      <c r="B65" s="281" t="s">
        <v>30</v>
      </c>
      <c r="C65" s="282" t="s">
        <v>1297</v>
      </c>
      <c r="D65" s="281" t="s">
        <v>69</v>
      </c>
      <c r="E65" s="281" t="s">
        <v>33</v>
      </c>
      <c r="F65" s="283">
        <v>41176</v>
      </c>
      <c r="G65" s="283">
        <v>41438</v>
      </c>
      <c r="H65" s="283">
        <v>41444</v>
      </c>
      <c r="I65" s="284">
        <v>57138.01</v>
      </c>
      <c r="J65" s="284"/>
      <c r="K65" s="284"/>
      <c r="L65" s="285"/>
      <c r="M65" s="364"/>
      <c r="O65" s="305">
        <f t="shared" si="0"/>
        <v>0</v>
      </c>
    </row>
    <row r="66" spans="1:15" s="322" customFormat="1" ht="12.6" thickBot="1">
      <c r="A66" s="353" t="s">
        <v>1296</v>
      </c>
      <c r="B66" s="327" t="s">
        <v>28</v>
      </c>
      <c r="C66" s="326" t="s">
        <v>1297</v>
      </c>
      <c r="D66" s="327" t="s">
        <v>69</v>
      </c>
      <c r="E66" s="327" t="s">
        <v>33</v>
      </c>
      <c r="F66" s="354">
        <v>41176</v>
      </c>
      <c r="G66" s="354">
        <v>41438</v>
      </c>
      <c r="H66" s="354">
        <v>41443</v>
      </c>
      <c r="I66" s="355">
        <v>111660.65</v>
      </c>
      <c r="J66" s="355">
        <f>+I66+I65</f>
        <v>168798.66</v>
      </c>
      <c r="K66" s="355">
        <v>118900</v>
      </c>
      <c r="L66" s="330">
        <f>+J66-K66</f>
        <v>49898.66</v>
      </c>
      <c r="M66" s="356"/>
      <c r="O66" s="305">
        <f t="shared" si="0"/>
        <v>0</v>
      </c>
    </row>
    <row r="67" spans="1:15" s="322" customFormat="1" ht="12">
      <c r="A67" s="365" t="s">
        <v>1215</v>
      </c>
      <c r="B67" s="317" t="s">
        <v>28</v>
      </c>
      <c r="C67" s="318" t="s">
        <v>1226</v>
      </c>
      <c r="D67" s="317" t="s">
        <v>750</v>
      </c>
      <c r="E67" s="317" t="s">
        <v>33</v>
      </c>
      <c r="F67" s="366">
        <v>41264</v>
      </c>
      <c r="G67" s="366">
        <v>41311</v>
      </c>
      <c r="H67" s="366">
        <v>41331</v>
      </c>
      <c r="I67" s="367">
        <v>129409.12</v>
      </c>
      <c r="J67" s="367">
        <f>+I67</f>
        <v>129409.12</v>
      </c>
      <c r="K67" s="367">
        <v>118900</v>
      </c>
      <c r="L67" s="368">
        <f>+J67-K67</f>
        <v>10509.119999999995</v>
      </c>
      <c r="M67" s="369"/>
      <c r="O67" s="305">
        <f t="shared" si="0"/>
        <v>0</v>
      </c>
    </row>
    <row r="68" spans="1:15" s="322" customFormat="1" ht="12">
      <c r="A68" s="370" t="s">
        <v>413</v>
      </c>
      <c r="B68" s="281" t="s">
        <v>30</v>
      </c>
      <c r="C68" s="282" t="s">
        <v>414</v>
      </c>
      <c r="D68" s="281" t="s">
        <v>415</v>
      </c>
      <c r="E68" s="281" t="s">
        <v>33</v>
      </c>
      <c r="F68" s="283">
        <v>41067</v>
      </c>
      <c r="G68" s="283">
        <v>41082</v>
      </c>
      <c r="H68" s="283">
        <v>41087</v>
      </c>
      <c r="I68" s="284">
        <v>38372.67</v>
      </c>
      <c r="J68" s="284"/>
      <c r="K68" s="284"/>
      <c r="L68" s="285"/>
      <c r="M68" s="364"/>
      <c r="O68" s="305">
        <f t="shared" si="0"/>
        <v>0</v>
      </c>
    </row>
    <row r="69" spans="1:15" s="322" customFormat="1" ht="12.6" thickBot="1">
      <c r="A69" s="353" t="s">
        <v>416</v>
      </c>
      <c r="B69" s="327" t="s">
        <v>349</v>
      </c>
      <c r="C69" s="326" t="s">
        <v>414</v>
      </c>
      <c r="D69" s="327" t="s">
        <v>415</v>
      </c>
      <c r="E69" s="327" t="s">
        <v>33</v>
      </c>
      <c r="F69" s="354">
        <v>41067</v>
      </c>
      <c r="G69" s="354">
        <v>41082</v>
      </c>
      <c r="H69" s="354">
        <v>41087</v>
      </c>
      <c r="I69" s="355">
        <v>135000</v>
      </c>
      <c r="J69" s="355"/>
      <c r="K69" s="355"/>
      <c r="L69" s="330"/>
      <c r="M69" s="356"/>
      <c r="O69" s="305">
        <f t="shared" si="0"/>
        <v>0</v>
      </c>
    </row>
    <row r="70" spans="1:15" s="322" customFormat="1" ht="12">
      <c r="A70" s="365" t="s">
        <v>413</v>
      </c>
      <c r="B70" s="317" t="s">
        <v>30</v>
      </c>
      <c r="C70" s="318" t="s">
        <v>414</v>
      </c>
      <c r="D70" s="317" t="s">
        <v>415</v>
      </c>
      <c r="E70" s="317" t="s">
        <v>33</v>
      </c>
      <c r="F70" s="366">
        <v>41067</v>
      </c>
      <c r="G70" s="366">
        <v>41082</v>
      </c>
      <c r="H70" s="366">
        <v>41135</v>
      </c>
      <c r="I70" s="367">
        <v>19183.46</v>
      </c>
      <c r="J70" s="367">
        <f>SUM(I68:I70)</f>
        <v>192556.12999999998</v>
      </c>
      <c r="K70" s="367">
        <v>118900</v>
      </c>
      <c r="L70" s="368">
        <f>J70-K70</f>
        <v>73656.129999999976</v>
      </c>
      <c r="M70" s="369"/>
      <c r="O70" s="305">
        <f t="shared" si="0"/>
        <v>0</v>
      </c>
    </row>
    <row r="71" spans="1:15" s="322" customFormat="1" ht="12.6" thickBot="1">
      <c r="A71" s="353" t="s">
        <v>417</v>
      </c>
      <c r="B71" s="327" t="s">
        <v>30</v>
      </c>
      <c r="C71" s="326" t="s">
        <v>418</v>
      </c>
      <c r="D71" s="327" t="s">
        <v>131</v>
      </c>
      <c r="E71" s="327" t="s">
        <v>33</v>
      </c>
      <c r="F71" s="354">
        <v>40938</v>
      </c>
      <c r="G71" s="354">
        <v>40982</v>
      </c>
      <c r="H71" s="354">
        <v>40996</v>
      </c>
      <c r="I71" s="355">
        <v>103000</v>
      </c>
      <c r="J71" s="355"/>
      <c r="K71" s="355"/>
      <c r="L71" s="330"/>
      <c r="M71" s="356"/>
      <c r="O71" s="305">
        <f t="shared" si="0"/>
        <v>0</v>
      </c>
    </row>
    <row r="72" spans="1:15" s="322" customFormat="1" ht="12">
      <c r="A72" s="365" t="s">
        <v>419</v>
      </c>
      <c r="B72" s="317" t="s">
        <v>349</v>
      </c>
      <c r="C72" s="318" t="s">
        <v>418</v>
      </c>
      <c r="D72" s="317" t="s">
        <v>131</v>
      </c>
      <c r="E72" s="317" t="s">
        <v>33</v>
      </c>
      <c r="F72" s="366">
        <v>40938</v>
      </c>
      <c r="G72" s="366">
        <v>40982</v>
      </c>
      <c r="H72" s="366">
        <v>40996</v>
      </c>
      <c r="I72" s="367">
        <v>148707.41</v>
      </c>
      <c r="J72" s="367"/>
      <c r="K72" s="367"/>
      <c r="L72" s="368"/>
      <c r="M72" s="369"/>
      <c r="O72" s="305">
        <f t="shared" si="0"/>
        <v>0</v>
      </c>
    </row>
    <row r="73" spans="1:15" s="322" customFormat="1" ht="12.6" thickBot="1">
      <c r="A73" s="353" t="s">
        <v>420</v>
      </c>
      <c r="B73" s="327" t="s">
        <v>93</v>
      </c>
      <c r="C73" s="326" t="s">
        <v>418</v>
      </c>
      <c r="D73" s="327" t="s">
        <v>131</v>
      </c>
      <c r="E73" s="327" t="s">
        <v>33</v>
      </c>
      <c r="F73" s="354">
        <v>40938</v>
      </c>
      <c r="G73" s="354">
        <v>40982</v>
      </c>
      <c r="H73" s="354">
        <v>40996</v>
      </c>
      <c r="I73" s="355">
        <v>52500</v>
      </c>
      <c r="J73" s="355">
        <f>I71+I72+I73</f>
        <v>304207.41000000003</v>
      </c>
      <c r="K73" s="355">
        <v>118900</v>
      </c>
      <c r="L73" s="330">
        <f>J73-K73</f>
        <v>185307.41000000003</v>
      </c>
      <c r="M73" s="356"/>
      <c r="O73" s="305">
        <f t="shared" si="0"/>
        <v>0</v>
      </c>
    </row>
    <row r="74" spans="1:15" s="322" customFormat="1" ht="12">
      <c r="A74" s="365" t="s">
        <v>421</v>
      </c>
      <c r="B74" s="317" t="s">
        <v>349</v>
      </c>
      <c r="C74" s="318" t="s">
        <v>422</v>
      </c>
      <c r="D74" s="317" t="s">
        <v>38</v>
      </c>
      <c r="E74" s="317" t="s">
        <v>33</v>
      </c>
      <c r="F74" s="366">
        <v>41254</v>
      </c>
      <c r="G74" s="366">
        <v>41269</v>
      </c>
      <c r="H74" s="366">
        <v>41269</v>
      </c>
      <c r="I74" s="367">
        <v>109136.34</v>
      </c>
      <c r="J74" s="367"/>
      <c r="K74" s="367"/>
      <c r="L74" s="368"/>
      <c r="M74" s="369"/>
      <c r="O74" s="305">
        <f t="shared" si="0"/>
        <v>0</v>
      </c>
    </row>
    <row r="75" spans="1:15" s="322" customFormat="1" ht="12.6" thickBot="1">
      <c r="A75" s="353" t="s">
        <v>423</v>
      </c>
      <c r="B75" s="327" t="s">
        <v>30</v>
      </c>
      <c r="C75" s="326" t="s">
        <v>422</v>
      </c>
      <c r="D75" s="327" t="s">
        <v>38</v>
      </c>
      <c r="E75" s="327" t="s">
        <v>33</v>
      </c>
      <c r="F75" s="354">
        <v>41254</v>
      </c>
      <c r="G75" s="354">
        <v>41269</v>
      </c>
      <c r="H75" s="354">
        <v>41269</v>
      </c>
      <c r="I75" s="355">
        <v>33594.65</v>
      </c>
      <c r="J75" s="355"/>
      <c r="K75" s="355"/>
      <c r="L75" s="330"/>
      <c r="M75" s="356"/>
      <c r="O75" s="305">
        <f t="shared" si="0"/>
        <v>0</v>
      </c>
    </row>
    <row r="76" spans="1:15" s="322" customFormat="1" ht="12">
      <c r="A76" s="365" t="s">
        <v>424</v>
      </c>
      <c r="B76" s="317" t="s">
        <v>93</v>
      </c>
      <c r="C76" s="318" t="s">
        <v>422</v>
      </c>
      <c r="D76" s="317" t="s">
        <v>38</v>
      </c>
      <c r="E76" s="317" t="s">
        <v>33</v>
      </c>
      <c r="F76" s="366">
        <v>41254</v>
      </c>
      <c r="G76" s="366">
        <v>41269</v>
      </c>
      <c r="H76" s="366">
        <v>41269</v>
      </c>
      <c r="I76" s="367">
        <v>80000</v>
      </c>
      <c r="J76" s="367">
        <f>SUM(I74:I76)</f>
        <v>222730.99</v>
      </c>
      <c r="K76" s="367">
        <v>118900</v>
      </c>
      <c r="L76" s="368">
        <f>J76-K76</f>
        <v>103830.98999999999</v>
      </c>
      <c r="M76" s="369"/>
      <c r="O76" s="305">
        <f t="shared" ref="O76:O139" si="1">IF($J76&gt;P$8,$J76-P$8,0)</f>
        <v>0</v>
      </c>
    </row>
    <row r="77" spans="1:15" s="322" customFormat="1" ht="12.6" thickBot="1">
      <c r="A77" s="353" t="s">
        <v>425</v>
      </c>
      <c r="B77" s="327" t="s">
        <v>30</v>
      </c>
      <c r="C77" s="326" t="s">
        <v>426</v>
      </c>
      <c r="D77" s="327" t="s">
        <v>427</v>
      </c>
      <c r="E77" s="327" t="s">
        <v>33</v>
      </c>
      <c r="F77" s="354">
        <v>40936</v>
      </c>
      <c r="G77" s="354">
        <v>40952</v>
      </c>
      <c r="H77" s="354">
        <v>40973</v>
      </c>
      <c r="I77" s="355">
        <v>24399.5</v>
      </c>
      <c r="J77" s="355"/>
      <c r="K77" s="355"/>
      <c r="L77" s="330"/>
      <c r="M77" s="356"/>
      <c r="O77" s="305">
        <f t="shared" si="1"/>
        <v>0</v>
      </c>
    </row>
    <row r="78" spans="1:15" s="322" customFormat="1" ht="12.6" thickBot="1">
      <c r="A78" s="332" t="s">
        <v>428</v>
      </c>
      <c r="B78" s="333" t="s">
        <v>349</v>
      </c>
      <c r="C78" s="334" t="s">
        <v>426</v>
      </c>
      <c r="D78" s="333" t="s">
        <v>427</v>
      </c>
      <c r="E78" s="333" t="s">
        <v>33</v>
      </c>
      <c r="F78" s="335">
        <v>40936</v>
      </c>
      <c r="G78" s="335">
        <v>40952</v>
      </c>
      <c r="H78" s="335">
        <v>40973</v>
      </c>
      <c r="I78" s="336">
        <v>207705.48</v>
      </c>
      <c r="J78" s="336">
        <f>I77+I78</f>
        <v>232104.98</v>
      </c>
      <c r="K78" s="336">
        <v>118900</v>
      </c>
      <c r="L78" s="337">
        <f>J78-K78</f>
        <v>113204.98000000001</v>
      </c>
      <c r="M78" s="338"/>
      <c r="O78" s="305">
        <f t="shared" si="1"/>
        <v>0</v>
      </c>
    </row>
    <row r="79" spans="1:15" s="322" customFormat="1" ht="12">
      <c r="A79" s="365" t="s">
        <v>1216</v>
      </c>
      <c r="B79" s="317" t="s">
        <v>30</v>
      </c>
      <c r="C79" s="318" t="s">
        <v>1227</v>
      </c>
      <c r="D79" s="317" t="s">
        <v>38</v>
      </c>
      <c r="E79" s="317" t="s">
        <v>33</v>
      </c>
      <c r="F79" s="366">
        <v>41245</v>
      </c>
      <c r="G79" s="366">
        <v>41309</v>
      </c>
      <c r="H79" s="366">
        <v>41311</v>
      </c>
      <c r="I79" s="367">
        <v>21553.74</v>
      </c>
      <c r="J79" s="367"/>
      <c r="K79" s="367"/>
      <c r="L79" s="368"/>
      <c r="M79" s="369"/>
      <c r="O79" s="305">
        <f t="shared" si="1"/>
        <v>0</v>
      </c>
    </row>
    <row r="80" spans="1:15" s="322" customFormat="1" ht="12">
      <c r="A80" s="370" t="s">
        <v>1217</v>
      </c>
      <c r="B80" s="281" t="s">
        <v>28</v>
      </c>
      <c r="C80" s="282" t="s">
        <v>1227</v>
      </c>
      <c r="D80" s="281" t="s">
        <v>38</v>
      </c>
      <c r="E80" s="281" t="s">
        <v>33</v>
      </c>
      <c r="F80" s="283">
        <v>41245</v>
      </c>
      <c r="G80" s="283">
        <v>41309</v>
      </c>
      <c r="H80" s="283">
        <v>41311</v>
      </c>
      <c r="I80" s="284">
        <v>155000</v>
      </c>
      <c r="J80" s="284">
        <f>+I80+I79</f>
        <v>176553.74</v>
      </c>
      <c r="K80" s="284">
        <v>118900</v>
      </c>
      <c r="L80" s="285">
        <f>+J80-K80</f>
        <v>57653.739999999991</v>
      </c>
      <c r="M80" s="364"/>
      <c r="O80" s="305">
        <f t="shared" si="1"/>
        <v>0</v>
      </c>
    </row>
    <row r="81" spans="1:15" s="322" customFormat="1" ht="12.6" thickBot="1">
      <c r="A81" s="353" t="s">
        <v>429</v>
      </c>
      <c r="B81" s="327" t="s">
        <v>30</v>
      </c>
      <c r="C81" s="326" t="s">
        <v>430</v>
      </c>
      <c r="D81" s="327" t="s">
        <v>38</v>
      </c>
      <c r="E81" s="327" t="s">
        <v>33</v>
      </c>
      <c r="F81" s="354">
        <v>40974</v>
      </c>
      <c r="G81" s="354">
        <v>40983</v>
      </c>
      <c r="H81" s="354">
        <v>40996</v>
      </c>
      <c r="I81" s="355">
        <v>41614.18</v>
      </c>
      <c r="J81" s="355"/>
      <c r="K81" s="355"/>
      <c r="L81" s="330"/>
      <c r="M81" s="356"/>
      <c r="O81" s="305">
        <f t="shared" si="1"/>
        <v>0</v>
      </c>
    </row>
    <row r="82" spans="1:15" s="322" customFormat="1" ht="12">
      <c r="A82" s="365" t="s">
        <v>431</v>
      </c>
      <c r="B82" s="317" t="s">
        <v>349</v>
      </c>
      <c r="C82" s="318" t="s">
        <v>430</v>
      </c>
      <c r="D82" s="317" t="s">
        <v>38</v>
      </c>
      <c r="E82" s="317" t="s">
        <v>33</v>
      </c>
      <c r="F82" s="366">
        <v>40974</v>
      </c>
      <c r="G82" s="366">
        <v>40983</v>
      </c>
      <c r="H82" s="366">
        <v>40996</v>
      </c>
      <c r="I82" s="367">
        <v>275321.59999999998</v>
      </c>
      <c r="J82" s="367"/>
      <c r="K82" s="367"/>
      <c r="L82" s="368"/>
      <c r="M82" s="369"/>
      <c r="O82" s="305">
        <f t="shared" si="1"/>
        <v>0</v>
      </c>
    </row>
    <row r="83" spans="1:15" s="322" customFormat="1" ht="12.6" thickBot="1">
      <c r="A83" s="353" t="s">
        <v>431</v>
      </c>
      <c r="B83" s="327" t="s">
        <v>349</v>
      </c>
      <c r="C83" s="326" t="s">
        <v>430</v>
      </c>
      <c r="D83" s="327" t="s">
        <v>38</v>
      </c>
      <c r="E83" s="327" t="s">
        <v>33</v>
      </c>
      <c r="F83" s="354">
        <v>40974</v>
      </c>
      <c r="G83" s="354">
        <v>40983</v>
      </c>
      <c r="H83" s="354">
        <v>40996</v>
      </c>
      <c r="I83" s="355">
        <v>94678.399999999994</v>
      </c>
      <c r="J83" s="355">
        <f>SUM(I81:I83)</f>
        <v>411614.17999999993</v>
      </c>
      <c r="K83" s="355">
        <v>118900</v>
      </c>
      <c r="L83" s="330">
        <f>J83-K83</f>
        <v>292714.17999999993</v>
      </c>
      <c r="M83" s="356"/>
      <c r="O83" s="305">
        <f t="shared" si="1"/>
        <v>0</v>
      </c>
    </row>
    <row r="84" spans="1:15" s="322" customFormat="1" ht="12">
      <c r="A84" s="365" t="s">
        <v>1236</v>
      </c>
      <c r="B84" s="317" t="s">
        <v>23</v>
      </c>
      <c r="C84" s="318" t="s">
        <v>1248</v>
      </c>
      <c r="D84" s="317" t="s">
        <v>209</v>
      </c>
      <c r="E84" s="317" t="s">
        <v>33</v>
      </c>
      <c r="F84" s="366">
        <v>41210</v>
      </c>
      <c r="G84" s="366">
        <v>41306</v>
      </c>
      <c r="H84" s="366">
        <v>41325</v>
      </c>
      <c r="I84" s="367">
        <v>117018.3</v>
      </c>
      <c r="J84" s="367"/>
      <c r="K84" s="367"/>
      <c r="L84" s="368"/>
      <c r="M84" s="369"/>
      <c r="O84" s="305">
        <f t="shared" si="1"/>
        <v>0</v>
      </c>
    </row>
    <row r="85" spans="1:15" s="322" customFormat="1" ht="12.6" thickBot="1">
      <c r="A85" s="353" t="s">
        <v>1237</v>
      </c>
      <c r="B85" s="327" t="s">
        <v>250</v>
      </c>
      <c r="C85" s="326" t="s">
        <v>1248</v>
      </c>
      <c r="D85" s="327" t="s">
        <v>209</v>
      </c>
      <c r="E85" s="327" t="s">
        <v>33</v>
      </c>
      <c r="F85" s="354">
        <v>41210</v>
      </c>
      <c r="G85" s="354">
        <v>41306</v>
      </c>
      <c r="H85" s="354">
        <v>41325</v>
      </c>
      <c r="I85" s="355">
        <v>10000</v>
      </c>
      <c r="J85" s="355">
        <f>+I85+I84</f>
        <v>127018.3</v>
      </c>
      <c r="K85" s="355">
        <v>118900</v>
      </c>
      <c r="L85" s="330">
        <f>+J85-K85</f>
        <v>8118.3000000000029</v>
      </c>
      <c r="M85" s="356"/>
      <c r="O85" s="305">
        <f t="shared" si="1"/>
        <v>0</v>
      </c>
    </row>
    <row r="86" spans="1:15" s="322" customFormat="1" ht="12.6" thickBot="1">
      <c r="A86" s="332" t="s">
        <v>432</v>
      </c>
      <c r="B86" s="333" t="s">
        <v>349</v>
      </c>
      <c r="C86" s="334" t="s">
        <v>433</v>
      </c>
      <c r="D86" s="333" t="s">
        <v>434</v>
      </c>
      <c r="E86" s="333" t="s">
        <v>26</v>
      </c>
      <c r="F86" s="335">
        <v>41075</v>
      </c>
      <c r="G86" s="335">
        <v>41114</v>
      </c>
      <c r="H86" s="335">
        <v>41114</v>
      </c>
      <c r="I86" s="336">
        <v>49000</v>
      </c>
      <c r="J86" s="336"/>
      <c r="K86" s="336"/>
      <c r="L86" s="337"/>
      <c r="M86" s="338"/>
      <c r="O86" s="305">
        <f t="shared" si="1"/>
        <v>0</v>
      </c>
    </row>
    <row r="87" spans="1:15" s="322" customFormat="1" ht="12">
      <c r="A87" s="365" t="s">
        <v>435</v>
      </c>
      <c r="B87" s="317" t="s">
        <v>30</v>
      </c>
      <c r="C87" s="318" t="s">
        <v>433</v>
      </c>
      <c r="D87" s="317" t="s">
        <v>434</v>
      </c>
      <c r="E87" s="317" t="s">
        <v>26</v>
      </c>
      <c r="F87" s="366">
        <v>41075</v>
      </c>
      <c r="G87" s="366">
        <v>41094</v>
      </c>
      <c r="H87" s="366">
        <v>41109</v>
      </c>
      <c r="I87" s="367">
        <v>20606.919999999998</v>
      </c>
      <c r="J87" s="367"/>
      <c r="K87" s="367"/>
      <c r="L87" s="368"/>
      <c r="M87" s="369"/>
      <c r="O87" s="305">
        <f t="shared" si="1"/>
        <v>0</v>
      </c>
    </row>
    <row r="88" spans="1:15" s="322" customFormat="1" ht="12.6" thickBot="1">
      <c r="A88" s="353" t="s">
        <v>436</v>
      </c>
      <c r="B88" s="327" t="s">
        <v>349</v>
      </c>
      <c r="C88" s="326" t="s">
        <v>433</v>
      </c>
      <c r="D88" s="327" t="s">
        <v>434</v>
      </c>
      <c r="E88" s="327" t="s">
        <v>26</v>
      </c>
      <c r="F88" s="354">
        <v>41075</v>
      </c>
      <c r="G88" s="354">
        <v>41094</v>
      </c>
      <c r="H88" s="354">
        <v>41109</v>
      </c>
      <c r="I88" s="355">
        <v>49508.07</v>
      </c>
      <c r="J88" s="355"/>
      <c r="K88" s="355"/>
      <c r="L88" s="330"/>
      <c r="M88" s="356"/>
      <c r="O88" s="305">
        <f t="shared" si="1"/>
        <v>0</v>
      </c>
    </row>
    <row r="89" spans="1:15" s="322" customFormat="1" ht="12">
      <c r="A89" s="365" t="s">
        <v>437</v>
      </c>
      <c r="B89" s="317" t="s">
        <v>93</v>
      </c>
      <c r="C89" s="318" t="s">
        <v>433</v>
      </c>
      <c r="D89" s="317" t="s">
        <v>434</v>
      </c>
      <c r="E89" s="317" t="s">
        <v>26</v>
      </c>
      <c r="F89" s="366">
        <v>41075</v>
      </c>
      <c r="G89" s="366">
        <v>41094</v>
      </c>
      <c r="H89" s="366">
        <v>41109</v>
      </c>
      <c r="I89" s="367">
        <v>207182.67</v>
      </c>
      <c r="J89" s="367"/>
      <c r="K89" s="367"/>
      <c r="L89" s="368"/>
      <c r="M89" s="369"/>
      <c r="O89" s="305">
        <f t="shared" si="1"/>
        <v>0</v>
      </c>
    </row>
    <row r="90" spans="1:15" s="322" customFormat="1" ht="12.6" thickBot="1">
      <c r="A90" s="353" t="s">
        <v>438</v>
      </c>
      <c r="B90" s="327" t="s">
        <v>393</v>
      </c>
      <c r="C90" s="326" t="s">
        <v>433</v>
      </c>
      <c r="D90" s="327" t="s">
        <v>434</v>
      </c>
      <c r="E90" s="327" t="s">
        <v>26</v>
      </c>
      <c r="F90" s="354">
        <v>41075</v>
      </c>
      <c r="G90" s="354">
        <v>41094</v>
      </c>
      <c r="H90" s="354">
        <v>41109</v>
      </c>
      <c r="I90" s="355">
        <v>5000</v>
      </c>
      <c r="J90" s="355">
        <f>SUM(I86:I90)</f>
        <v>331297.66000000003</v>
      </c>
      <c r="K90" s="355">
        <v>118900</v>
      </c>
      <c r="L90" s="330">
        <f>J90-K90</f>
        <v>212397.66000000003</v>
      </c>
      <c r="M90" s="356"/>
      <c r="O90" s="305">
        <f t="shared" si="1"/>
        <v>0</v>
      </c>
    </row>
    <row r="91" spans="1:15" s="322" customFormat="1" ht="12">
      <c r="A91" s="365" t="s">
        <v>439</v>
      </c>
      <c r="B91" s="317" t="s">
        <v>30</v>
      </c>
      <c r="C91" s="318" t="s">
        <v>440</v>
      </c>
      <c r="D91" s="317" t="s">
        <v>38</v>
      </c>
      <c r="E91" s="317" t="s">
        <v>33</v>
      </c>
      <c r="F91" s="366">
        <v>41171</v>
      </c>
      <c r="G91" s="366">
        <v>41218</v>
      </c>
      <c r="H91" s="366">
        <v>41239</v>
      </c>
      <c r="I91" s="367">
        <v>28172.39</v>
      </c>
      <c r="J91" s="367"/>
      <c r="K91" s="367"/>
      <c r="L91" s="368"/>
      <c r="M91" s="369"/>
      <c r="O91" s="305">
        <f t="shared" si="1"/>
        <v>0</v>
      </c>
    </row>
    <row r="92" spans="1:15" s="322" customFormat="1" ht="12.6" thickBot="1">
      <c r="A92" s="353" t="s">
        <v>441</v>
      </c>
      <c r="B92" s="327" t="s">
        <v>349</v>
      </c>
      <c r="C92" s="326" t="s">
        <v>440</v>
      </c>
      <c r="D92" s="327" t="s">
        <v>38</v>
      </c>
      <c r="E92" s="327" t="s">
        <v>33</v>
      </c>
      <c r="F92" s="354">
        <v>41171</v>
      </c>
      <c r="G92" s="354">
        <v>41218</v>
      </c>
      <c r="H92" s="354">
        <v>41239</v>
      </c>
      <c r="I92" s="355">
        <v>79000</v>
      </c>
      <c r="J92" s="355"/>
      <c r="K92" s="355"/>
      <c r="L92" s="330"/>
      <c r="M92" s="356"/>
      <c r="O92" s="305">
        <f t="shared" si="1"/>
        <v>0</v>
      </c>
    </row>
    <row r="93" spans="1:15" s="322" customFormat="1" ht="12.6" thickBot="1">
      <c r="A93" s="332" t="s">
        <v>442</v>
      </c>
      <c r="B93" s="333" t="s">
        <v>353</v>
      </c>
      <c r="C93" s="334" t="s">
        <v>440</v>
      </c>
      <c r="D93" s="333" t="s">
        <v>38</v>
      </c>
      <c r="E93" s="333" t="s">
        <v>33</v>
      </c>
      <c r="F93" s="335">
        <v>41171</v>
      </c>
      <c r="G93" s="335">
        <v>41218</v>
      </c>
      <c r="H93" s="335">
        <v>41239</v>
      </c>
      <c r="I93" s="336">
        <v>24331.94</v>
      </c>
      <c r="J93" s="336">
        <f>SUM(I91:I93)</f>
        <v>131504.32999999999</v>
      </c>
      <c r="K93" s="336">
        <v>118900</v>
      </c>
      <c r="L93" s="337">
        <f>J93-K93</f>
        <v>12604.329999999987</v>
      </c>
      <c r="M93" s="338"/>
      <c r="O93" s="305">
        <f t="shared" si="1"/>
        <v>0</v>
      </c>
    </row>
    <row r="94" spans="1:15" s="322" customFormat="1" ht="12">
      <c r="A94" s="365" t="s">
        <v>443</v>
      </c>
      <c r="B94" s="317" t="s">
        <v>30</v>
      </c>
      <c r="C94" s="318" t="s">
        <v>444</v>
      </c>
      <c r="D94" s="317" t="s">
        <v>38</v>
      </c>
      <c r="E94" s="317" t="s">
        <v>33</v>
      </c>
      <c r="F94" s="366">
        <v>40918</v>
      </c>
      <c r="G94" s="366">
        <v>40942</v>
      </c>
      <c r="H94" s="366">
        <v>40988</v>
      </c>
      <c r="I94" s="367">
        <v>78000</v>
      </c>
      <c r="J94" s="367"/>
      <c r="K94" s="367"/>
      <c r="L94" s="368"/>
      <c r="M94" s="369"/>
      <c r="O94" s="305">
        <f t="shared" si="1"/>
        <v>0</v>
      </c>
    </row>
    <row r="95" spans="1:15" s="322" customFormat="1" ht="12.6" thickBot="1">
      <c r="A95" s="353" t="s">
        <v>445</v>
      </c>
      <c r="B95" s="327" t="s">
        <v>349</v>
      </c>
      <c r="C95" s="326" t="s">
        <v>444</v>
      </c>
      <c r="D95" s="327" t="s">
        <v>38</v>
      </c>
      <c r="E95" s="327" t="s">
        <v>33</v>
      </c>
      <c r="F95" s="354">
        <v>40918</v>
      </c>
      <c r="G95" s="354">
        <v>40942</v>
      </c>
      <c r="H95" s="354">
        <v>40988</v>
      </c>
      <c r="I95" s="355">
        <v>477072.72</v>
      </c>
      <c r="J95" s="355">
        <f>I94+I95</f>
        <v>555072.72</v>
      </c>
      <c r="K95" s="355">
        <v>118900</v>
      </c>
      <c r="L95" s="330">
        <f>J95-K95</f>
        <v>436172.72</v>
      </c>
      <c r="M95" s="356"/>
      <c r="O95" s="305">
        <f t="shared" si="1"/>
        <v>0</v>
      </c>
    </row>
    <row r="96" spans="1:15" s="322" customFormat="1" ht="12">
      <c r="A96" s="365" t="s">
        <v>1300</v>
      </c>
      <c r="B96" s="317" t="s">
        <v>23</v>
      </c>
      <c r="C96" s="318" t="s">
        <v>1302</v>
      </c>
      <c r="D96" s="317" t="s">
        <v>1303</v>
      </c>
      <c r="E96" s="317" t="s">
        <v>33</v>
      </c>
      <c r="F96" s="366">
        <v>41256</v>
      </c>
      <c r="G96" s="366">
        <v>41571</v>
      </c>
      <c r="H96" s="366">
        <v>41598</v>
      </c>
      <c r="I96" s="367">
        <v>52642.74</v>
      </c>
      <c r="J96" s="367"/>
      <c r="K96" s="367"/>
      <c r="L96" s="368"/>
      <c r="M96" s="369"/>
      <c r="O96" s="305">
        <f t="shared" si="1"/>
        <v>0</v>
      </c>
    </row>
    <row r="97" spans="1:15" s="322" customFormat="1" ht="12.6" thickBot="1">
      <c r="A97" s="353" t="s">
        <v>1301</v>
      </c>
      <c r="B97" s="327" t="s">
        <v>28</v>
      </c>
      <c r="C97" s="326" t="s">
        <v>1302</v>
      </c>
      <c r="D97" s="327" t="s">
        <v>239</v>
      </c>
      <c r="E97" s="327" t="s">
        <v>33</v>
      </c>
      <c r="F97" s="354">
        <v>41256</v>
      </c>
      <c r="G97" s="354">
        <v>41571</v>
      </c>
      <c r="H97" s="354">
        <v>41598</v>
      </c>
      <c r="I97" s="355">
        <v>330000</v>
      </c>
      <c r="J97" s="355">
        <f>+I97+I96</f>
        <v>382642.74</v>
      </c>
      <c r="K97" s="355">
        <v>118900</v>
      </c>
      <c r="L97" s="330">
        <f>+J97-K97</f>
        <v>263742.74</v>
      </c>
      <c r="M97" s="356"/>
      <c r="O97" s="305">
        <f t="shared" si="1"/>
        <v>0</v>
      </c>
    </row>
    <row r="98" spans="1:15" s="322" customFormat="1" ht="12.6" thickBot="1">
      <c r="A98" s="332" t="s">
        <v>446</v>
      </c>
      <c r="B98" s="333" t="s">
        <v>30</v>
      </c>
      <c r="C98" s="334" t="s">
        <v>447</v>
      </c>
      <c r="D98" s="333" t="s">
        <v>448</v>
      </c>
      <c r="E98" s="333" t="s">
        <v>33</v>
      </c>
      <c r="F98" s="335">
        <v>40954</v>
      </c>
      <c r="G98" s="335">
        <v>40962</v>
      </c>
      <c r="H98" s="335">
        <v>40988</v>
      </c>
      <c r="I98" s="336">
        <v>44466.11</v>
      </c>
      <c r="J98" s="336"/>
      <c r="K98" s="336"/>
      <c r="L98" s="337"/>
      <c r="M98" s="338"/>
      <c r="O98" s="305">
        <f t="shared" si="1"/>
        <v>0</v>
      </c>
    </row>
    <row r="99" spans="1:15" s="322" customFormat="1" ht="12.6" thickBot="1">
      <c r="A99" s="332" t="s">
        <v>449</v>
      </c>
      <c r="B99" s="333" t="s">
        <v>349</v>
      </c>
      <c r="C99" s="334" t="s">
        <v>447</v>
      </c>
      <c r="D99" s="333" t="s">
        <v>448</v>
      </c>
      <c r="E99" s="333" t="s">
        <v>33</v>
      </c>
      <c r="F99" s="335">
        <v>40954</v>
      </c>
      <c r="G99" s="335">
        <v>40962</v>
      </c>
      <c r="H99" s="335">
        <v>40988</v>
      </c>
      <c r="I99" s="336">
        <v>160000</v>
      </c>
      <c r="J99" s="336">
        <f>I98+I99</f>
        <v>204466.11</v>
      </c>
      <c r="K99" s="336">
        <v>118900</v>
      </c>
      <c r="L99" s="337">
        <f>J99-K99</f>
        <v>85566.109999999986</v>
      </c>
      <c r="M99" s="338"/>
      <c r="O99" s="305">
        <f t="shared" si="1"/>
        <v>0</v>
      </c>
    </row>
    <row r="100" spans="1:15" s="322" customFormat="1" ht="12">
      <c r="A100" s="365" t="s">
        <v>450</v>
      </c>
      <c r="B100" s="317" t="s">
        <v>30</v>
      </c>
      <c r="C100" s="318" t="s">
        <v>451</v>
      </c>
      <c r="D100" s="317" t="s">
        <v>38</v>
      </c>
      <c r="E100" s="317" t="s">
        <v>33</v>
      </c>
      <c r="F100" s="366">
        <v>41165</v>
      </c>
      <c r="G100" s="366">
        <v>41229</v>
      </c>
      <c r="H100" s="366">
        <v>41256</v>
      </c>
      <c r="I100" s="367">
        <v>79879.55</v>
      </c>
      <c r="J100" s="367"/>
      <c r="K100" s="367"/>
      <c r="L100" s="368"/>
      <c r="M100" s="369"/>
      <c r="O100" s="305">
        <f t="shared" si="1"/>
        <v>0</v>
      </c>
    </row>
    <row r="101" spans="1:15" s="322" customFormat="1" ht="12.6" thickBot="1">
      <c r="A101" s="353" t="s">
        <v>452</v>
      </c>
      <c r="B101" s="327" t="s">
        <v>349</v>
      </c>
      <c r="C101" s="326" t="s">
        <v>451</v>
      </c>
      <c r="D101" s="327" t="s">
        <v>38</v>
      </c>
      <c r="E101" s="327" t="s">
        <v>33</v>
      </c>
      <c r="F101" s="354">
        <v>41165</v>
      </c>
      <c r="G101" s="354">
        <v>41229</v>
      </c>
      <c r="H101" s="354">
        <v>41263</v>
      </c>
      <c r="I101" s="355">
        <v>252000</v>
      </c>
      <c r="J101" s="355">
        <f>SUM(I100:I101)</f>
        <v>331879.55</v>
      </c>
      <c r="K101" s="355">
        <v>118900</v>
      </c>
      <c r="L101" s="330">
        <f>J101-K101</f>
        <v>212979.55</v>
      </c>
      <c r="M101" s="356"/>
      <c r="O101" s="305">
        <f t="shared" si="1"/>
        <v>0</v>
      </c>
    </row>
    <row r="102" spans="1:15" s="322" customFormat="1" ht="12">
      <c r="A102" s="365" t="s">
        <v>453</v>
      </c>
      <c r="B102" s="317" t="s">
        <v>30</v>
      </c>
      <c r="C102" s="318" t="s">
        <v>454</v>
      </c>
      <c r="D102" s="317" t="s">
        <v>455</v>
      </c>
      <c r="E102" s="317" t="s">
        <v>26</v>
      </c>
      <c r="F102" s="366">
        <v>41189</v>
      </c>
      <c r="G102" s="366">
        <v>41229</v>
      </c>
      <c r="H102" s="366">
        <v>41261</v>
      </c>
      <c r="I102" s="367">
        <v>212543.58</v>
      </c>
      <c r="J102" s="367"/>
      <c r="K102" s="367"/>
      <c r="L102" s="368"/>
      <c r="M102" s="369"/>
      <c r="O102" s="305">
        <f t="shared" si="1"/>
        <v>0</v>
      </c>
    </row>
    <row r="103" spans="1:15" s="322" customFormat="1" ht="12">
      <c r="A103" s="370" t="s">
        <v>456</v>
      </c>
      <c r="B103" s="281" t="s">
        <v>349</v>
      </c>
      <c r="C103" s="282" t="s">
        <v>454</v>
      </c>
      <c r="D103" s="281" t="s">
        <v>455</v>
      </c>
      <c r="E103" s="281" t="s">
        <v>26</v>
      </c>
      <c r="F103" s="283">
        <v>41189</v>
      </c>
      <c r="G103" s="283">
        <v>41229</v>
      </c>
      <c r="H103" s="283">
        <v>41261</v>
      </c>
      <c r="I103" s="284">
        <v>464000</v>
      </c>
      <c r="J103" s="284">
        <f>SUM(I102:I103)</f>
        <v>676543.58</v>
      </c>
      <c r="K103" s="284">
        <v>118900</v>
      </c>
      <c r="L103" s="285">
        <f>J103-K103</f>
        <v>557643.57999999996</v>
      </c>
      <c r="M103" s="364"/>
      <c r="O103" s="305">
        <f t="shared" si="1"/>
        <v>0</v>
      </c>
    </row>
    <row r="104" spans="1:15" s="322" customFormat="1" ht="12">
      <c r="A104" s="370" t="s">
        <v>457</v>
      </c>
      <c r="B104" s="281" t="s">
        <v>93</v>
      </c>
      <c r="C104" s="282" t="s">
        <v>458</v>
      </c>
      <c r="D104" s="281" t="s">
        <v>459</v>
      </c>
      <c r="E104" s="281" t="s">
        <v>33</v>
      </c>
      <c r="F104" s="283">
        <v>41215</v>
      </c>
      <c r="G104" s="283">
        <v>41246</v>
      </c>
      <c r="H104" s="283">
        <v>41256</v>
      </c>
      <c r="I104" s="284">
        <v>157500</v>
      </c>
      <c r="J104" s="284">
        <f>SUM(I104)</f>
        <v>157500</v>
      </c>
      <c r="K104" s="284">
        <v>118900</v>
      </c>
      <c r="L104" s="285">
        <f>J104-K104</f>
        <v>38600</v>
      </c>
      <c r="M104" s="364"/>
      <c r="O104" s="305">
        <f t="shared" si="1"/>
        <v>0</v>
      </c>
    </row>
    <row r="105" spans="1:15" s="322" customFormat="1" ht="12.6" thickBot="1">
      <c r="A105" s="353" t="s">
        <v>460</v>
      </c>
      <c r="B105" s="327" t="s">
        <v>30</v>
      </c>
      <c r="C105" s="326" t="s">
        <v>461</v>
      </c>
      <c r="D105" s="327" t="s">
        <v>38</v>
      </c>
      <c r="E105" s="327" t="s">
        <v>33</v>
      </c>
      <c r="F105" s="354">
        <v>40972</v>
      </c>
      <c r="G105" s="354">
        <v>41046</v>
      </c>
      <c r="H105" s="354">
        <v>41068</v>
      </c>
      <c r="I105" s="355">
        <v>53000</v>
      </c>
      <c r="J105" s="355"/>
      <c r="K105" s="355"/>
      <c r="L105" s="330"/>
      <c r="M105" s="356"/>
      <c r="O105" s="305">
        <f t="shared" si="1"/>
        <v>0</v>
      </c>
    </row>
    <row r="106" spans="1:15" s="322" customFormat="1" ht="12">
      <c r="A106" s="365" t="s">
        <v>462</v>
      </c>
      <c r="B106" s="317" t="s">
        <v>349</v>
      </c>
      <c r="C106" s="318" t="s">
        <v>461</v>
      </c>
      <c r="D106" s="317" t="s">
        <v>38</v>
      </c>
      <c r="E106" s="317" t="s">
        <v>33</v>
      </c>
      <c r="F106" s="366">
        <v>40972</v>
      </c>
      <c r="G106" s="366">
        <v>41046</v>
      </c>
      <c r="H106" s="366">
        <v>41068</v>
      </c>
      <c r="I106" s="367">
        <v>79000</v>
      </c>
      <c r="J106" s="367"/>
      <c r="K106" s="367"/>
      <c r="L106" s="371"/>
      <c r="M106" s="372"/>
      <c r="O106" s="305">
        <f t="shared" si="1"/>
        <v>0</v>
      </c>
    </row>
    <row r="107" spans="1:15" s="322" customFormat="1" ht="12.6" thickBot="1">
      <c r="A107" s="353" t="s">
        <v>463</v>
      </c>
      <c r="B107" s="327" t="s">
        <v>353</v>
      </c>
      <c r="C107" s="326" t="s">
        <v>461</v>
      </c>
      <c r="D107" s="327" t="s">
        <v>38</v>
      </c>
      <c r="E107" s="327" t="s">
        <v>33</v>
      </c>
      <c r="F107" s="354">
        <v>40972</v>
      </c>
      <c r="G107" s="354">
        <v>41046</v>
      </c>
      <c r="H107" s="354">
        <v>41068</v>
      </c>
      <c r="I107" s="355">
        <v>348821.48</v>
      </c>
      <c r="J107" s="355">
        <f>+I105+I106+I107</f>
        <v>480821.48</v>
      </c>
      <c r="K107" s="355">
        <v>118900</v>
      </c>
      <c r="L107" s="373">
        <f>J107-K107</f>
        <v>361921.48</v>
      </c>
      <c r="M107" s="374"/>
      <c r="O107" s="305">
        <f t="shared" si="1"/>
        <v>0</v>
      </c>
    </row>
    <row r="108" spans="1:15" s="322" customFormat="1" ht="12">
      <c r="A108" s="346" t="s">
        <v>464</v>
      </c>
      <c r="B108" s="347" t="s">
        <v>30</v>
      </c>
      <c r="C108" s="348" t="s">
        <v>465</v>
      </c>
      <c r="D108" s="347" t="s">
        <v>25</v>
      </c>
      <c r="E108" s="347" t="s">
        <v>26</v>
      </c>
      <c r="F108" s="349">
        <v>40965</v>
      </c>
      <c r="G108" s="349">
        <v>40989</v>
      </c>
      <c r="H108" s="349">
        <v>41001</v>
      </c>
      <c r="I108" s="350">
        <v>28301.3</v>
      </c>
      <c r="J108" s="350"/>
      <c r="K108" s="350"/>
      <c r="L108" s="375"/>
      <c r="M108" s="376"/>
      <c r="O108" s="305">
        <f t="shared" si="1"/>
        <v>0</v>
      </c>
    </row>
    <row r="109" spans="1:15" s="322" customFormat="1" ht="12">
      <c r="A109" s="370" t="s">
        <v>466</v>
      </c>
      <c r="B109" s="281" t="s">
        <v>349</v>
      </c>
      <c r="C109" s="282" t="s">
        <v>465</v>
      </c>
      <c r="D109" s="281" t="s">
        <v>25</v>
      </c>
      <c r="E109" s="281" t="s">
        <v>26</v>
      </c>
      <c r="F109" s="283">
        <v>40965</v>
      </c>
      <c r="G109" s="283">
        <v>40989</v>
      </c>
      <c r="H109" s="283">
        <v>41001</v>
      </c>
      <c r="I109" s="284">
        <v>482031.11</v>
      </c>
      <c r="J109" s="284">
        <f>I108+I109</f>
        <v>510332.41</v>
      </c>
      <c r="K109" s="284">
        <v>118900</v>
      </c>
      <c r="L109" s="377">
        <f>J109-K109</f>
        <v>391432.41</v>
      </c>
      <c r="M109" s="378"/>
      <c r="O109" s="305">
        <f t="shared" si="1"/>
        <v>0</v>
      </c>
    </row>
    <row r="110" spans="1:15" s="322" customFormat="1" ht="12.6" thickBot="1">
      <c r="A110" s="353" t="s">
        <v>467</v>
      </c>
      <c r="B110" s="327" t="s">
        <v>30</v>
      </c>
      <c r="C110" s="326" t="s">
        <v>468</v>
      </c>
      <c r="D110" s="327" t="s">
        <v>38</v>
      </c>
      <c r="E110" s="327" t="s">
        <v>33</v>
      </c>
      <c r="F110" s="354">
        <v>41054</v>
      </c>
      <c r="G110" s="354">
        <v>41142</v>
      </c>
      <c r="H110" s="354">
        <v>41149</v>
      </c>
      <c r="I110" s="355">
        <v>44548.05</v>
      </c>
      <c r="J110" s="355"/>
      <c r="K110" s="355"/>
      <c r="L110" s="373"/>
      <c r="M110" s="374"/>
      <c r="O110" s="305">
        <f t="shared" si="1"/>
        <v>0</v>
      </c>
    </row>
    <row r="111" spans="1:15" s="322" customFormat="1" ht="12">
      <c r="A111" s="346" t="s">
        <v>469</v>
      </c>
      <c r="B111" s="347" t="s">
        <v>349</v>
      </c>
      <c r="C111" s="348" t="s">
        <v>468</v>
      </c>
      <c r="D111" s="347" t="s">
        <v>38</v>
      </c>
      <c r="E111" s="347" t="s">
        <v>33</v>
      </c>
      <c r="F111" s="349">
        <v>41054</v>
      </c>
      <c r="G111" s="349">
        <v>41142</v>
      </c>
      <c r="H111" s="349">
        <v>41149</v>
      </c>
      <c r="I111" s="350">
        <v>179596.71</v>
      </c>
      <c r="J111" s="350">
        <f>+I111+I110</f>
        <v>224144.76</v>
      </c>
      <c r="K111" s="350">
        <v>118900</v>
      </c>
      <c r="L111" s="375">
        <f>J111-K111</f>
        <v>105244.76000000001</v>
      </c>
      <c r="M111" s="376"/>
      <c r="O111" s="305">
        <f t="shared" si="1"/>
        <v>0</v>
      </c>
    </row>
    <row r="112" spans="1:15" s="322" customFormat="1" ht="12.6" thickBot="1">
      <c r="A112" s="353" t="s">
        <v>1308</v>
      </c>
      <c r="B112" s="327" t="s">
        <v>30</v>
      </c>
      <c r="C112" s="326" t="s">
        <v>1311</v>
      </c>
      <c r="D112" s="327" t="s">
        <v>1312</v>
      </c>
      <c r="E112" s="327" t="s">
        <v>33</v>
      </c>
      <c r="F112" s="354">
        <v>41016</v>
      </c>
      <c r="G112" s="354">
        <v>41523</v>
      </c>
      <c r="H112" s="354">
        <v>41530</v>
      </c>
      <c r="I112" s="355">
        <v>29000</v>
      </c>
      <c r="J112" s="355"/>
      <c r="K112" s="355"/>
      <c r="L112" s="373"/>
      <c r="M112" s="374"/>
      <c r="O112" s="305">
        <f t="shared" si="1"/>
        <v>0</v>
      </c>
    </row>
    <row r="113" spans="1:15" s="322" customFormat="1" ht="12">
      <c r="A113" s="346" t="s">
        <v>1309</v>
      </c>
      <c r="B113" s="347" t="s">
        <v>28</v>
      </c>
      <c r="C113" s="348" t="s">
        <v>1311</v>
      </c>
      <c r="D113" s="347" t="s">
        <v>1312</v>
      </c>
      <c r="E113" s="347" t="s">
        <v>33</v>
      </c>
      <c r="F113" s="349">
        <v>41016</v>
      </c>
      <c r="G113" s="349">
        <v>41523</v>
      </c>
      <c r="H113" s="349">
        <v>41530</v>
      </c>
      <c r="I113" s="350">
        <v>100000</v>
      </c>
      <c r="J113" s="350"/>
      <c r="K113" s="350"/>
      <c r="L113" s="375"/>
      <c r="M113" s="379"/>
      <c r="O113" s="305">
        <f t="shared" si="1"/>
        <v>0</v>
      </c>
    </row>
    <row r="114" spans="1:15" s="322" customFormat="1" ht="12">
      <c r="A114" s="370" t="s">
        <v>1310</v>
      </c>
      <c r="B114" s="281" t="s">
        <v>36</v>
      </c>
      <c r="C114" s="282" t="s">
        <v>1311</v>
      </c>
      <c r="D114" s="281" t="s">
        <v>1312</v>
      </c>
      <c r="E114" s="281" t="s">
        <v>33</v>
      </c>
      <c r="F114" s="283">
        <v>41016</v>
      </c>
      <c r="G114" s="283">
        <v>41523</v>
      </c>
      <c r="H114" s="283">
        <v>41530</v>
      </c>
      <c r="I114" s="284">
        <v>110444.95</v>
      </c>
      <c r="J114" s="284">
        <f>+I114+I113+I112</f>
        <v>239444.95</v>
      </c>
      <c r="K114" s="284">
        <v>118900</v>
      </c>
      <c r="L114" s="377">
        <f>+J114-K114</f>
        <v>120544.95000000001</v>
      </c>
      <c r="M114" s="380"/>
      <c r="O114" s="305">
        <f t="shared" si="1"/>
        <v>0</v>
      </c>
    </row>
    <row r="115" spans="1:15" s="322" customFormat="1" ht="12.6" thickBot="1">
      <c r="A115" s="381" t="s">
        <v>470</v>
      </c>
      <c r="B115" s="382" t="s">
        <v>349</v>
      </c>
      <c r="C115" s="383" t="s">
        <v>471</v>
      </c>
      <c r="D115" s="382" t="s">
        <v>43</v>
      </c>
      <c r="E115" s="382" t="s">
        <v>33</v>
      </c>
      <c r="F115" s="384">
        <v>41152</v>
      </c>
      <c r="G115" s="384">
        <v>41194</v>
      </c>
      <c r="H115" s="384">
        <v>41208</v>
      </c>
      <c r="I115" s="385">
        <v>186326</v>
      </c>
      <c r="J115" s="385"/>
      <c r="K115" s="385"/>
      <c r="L115" s="386"/>
      <c r="M115" s="387"/>
      <c r="O115" s="305">
        <f t="shared" si="1"/>
        <v>0</v>
      </c>
    </row>
    <row r="116" spans="1:15" s="322" customFormat="1" ht="12">
      <c r="A116" s="365" t="s">
        <v>1298</v>
      </c>
      <c r="B116" s="317" t="s">
        <v>30</v>
      </c>
      <c r="C116" s="318" t="s">
        <v>1299</v>
      </c>
      <c r="D116" s="317" t="s">
        <v>43</v>
      </c>
      <c r="E116" s="317" t="s">
        <v>33</v>
      </c>
      <c r="F116" s="366">
        <v>41152</v>
      </c>
      <c r="G116" s="366">
        <v>41421</v>
      </c>
      <c r="H116" s="366">
        <v>41423</v>
      </c>
      <c r="I116" s="367">
        <v>103000</v>
      </c>
      <c r="J116" s="367">
        <f>+I116+I115</f>
        <v>289326</v>
      </c>
      <c r="K116" s="367">
        <v>118900</v>
      </c>
      <c r="L116" s="368">
        <f>+J116-K116</f>
        <v>170426</v>
      </c>
      <c r="M116" s="369"/>
      <c r="O116" s="305">
        <f t="shared" si="1"/>
        <v>0</v>
      </c>
    </row>
    <row r="117" spans="1:15" s="322" customFormat="1" ht="12">
      <c r="A117" s="370" t="s">
        <v>363</v>
      </c>
      <c r="B117" s="281" t="s">
        <v>30</v>
      </c>
      <c r="C117" s="282" t="s">
        <v>472</v>
      </c>
      <c r="D117" s="281" t="s">
        <v>38</v>
      </c>
      <c r="E117" s="281" t="s">
        <v>33</v>
      </c>
      <c r="F117" s="283">
        <v>41013</v>
      </c>
      <c r="G117" s="283">
        <v>41107</v>
      </c>
      <c r="H117" s="283">
        <v>41113</v>
      </c>
      <c r="I117" s="284">
        <v>20415.509999999998</v>
      </c>
      <c r="J117" s="284"/>
      <c r="K117" s="284"/>
      <c r="L117" s="285"/>
      <c r="M117" s="364"/>
      <c r="O117" s="305">
        <f t="shared" si="1"/>
        <v>0</v>
      </c>
    </row>
    <row r="118" spans="1:15" s="322" customFormat="1" ht="12.6" thickBot="1">
      <c r="A118" s="353" t="s">
        <v>473</v>
      </c>
      <c r="B118" s="327" t="s">
        <v>349</v>
      </c>
      <c r="C118" s="326" t="s">
        <v>472</v>
      </c>
      <c r="D118" s="327" t="s">
        <v>38</v>
      </c>
      <c r="E118" s="327" t="s">
        <v>33</v>
      </c>
      <c r="F118" s="354">
        <v>41013</v>
      </c>
      <c r="G118" s="354">
        <v>41107</v>
      </c>
      <c r="H118" s="354">
        <v>41113</v>
      </c>
      <c r="I118" s="355">
        <v>150000</v>
      </c>
      <c r="J118" s="355">
        <f>+I118+I117</f>
        <v>170415.51</v>
      </c>
      <c r="K118" s="355">
        <v>118900</v>
      </c>
      <c r="L118" s="330">
        <f>J118-K118</f>
        <v>51515.510000000009</v>
      </c>
      <c r="M118" s="356"/>
      <c r="O118" s="305">
        <f t="shared" si="1"/>
        <v>0</v>
      </c>
    </row>
    <row r="119" spans="1:15" s="322" customFormat="1" ht="12.6" thickBot="1">
      <c r="A119" s="332" t="s">
        <v>474</v>
      </c>
      <c r="B119" s="333" t="s">
        <v>30</v>
      </c>
      <c r="C119" s="334" t="s">
        <v>475</v>
      </c>
      <c r="D119" s="333" t="s">
        <v>476</v>
      </c>
      <c r="E119" s="333" t="s">
        <v>33</v>
      </c>
      <c r="F119" s="335">
        <v>40910</v>
      </c>
      <c r="G119" s="335">
        <v>40977</v>
      </c>
      <c r="H119" s="335">
        <v>40983</v>
      </c>
      <c r="I119" s="336">
        <v>75513.91</v>
      </c>
      <c r="J119" s="336"/>
      <c r="K119" s="336"/>
      <c r="L119" s="337"/>
      <c r="M119" s="338"/>
      <c r="O119" s="305">
        <f t="shared" si="1"/>
        <v>0</v>
      </c>
    </row>
    <row r="120" spans="1:15" s="322" customFormat="1" ht="12">
      <c r="A120" s="365" t="s">
        <v>477</v>
      </c>
      <c r="B120" s="317" t="s">
        <v>349</v>
      </c>
      <c r="C120" s="318" t="s">
        <v>475</v>
      </c>
      <c r="D120" s="317" t="s">
        <v>476</v>
      </c>
      <c r="E120" s="317" t="s">
        <v>33</v>
      </c>
      <c r="F120" s="366">
        <v>40910</v>
      </c>
      <c r="G120" s="366">
        <v>40977</v>
      </c>
      <c r="H120" s="366">
        <v>40983</v>
      </c>
      <c r="I120" s="367">
        <v>232558.83</v>
      </c>
      <c r="J120" s="367">
        <f>I119+I120</f>
        <v>308072.74</v>
      </c>
      <c r="K120" s="367">
        <v>118900</v>
      </c>
      <c r="L120" s="368">
        <f>J120-K120</f>
        <v>189172.74</v>
      </c>
      <c r="M120" s="369"/>
      <c r="O120" s="305">
        <f t="shared" si="1"/>
        <v>0</v>
      </c>
    </row>
    <row r="121" spans="1:15" s="322" customFormat="1" ht="12.6" thickBot="1">
      <c r="A121" s="353" t="s">
        <v>1218</v>
      </c>
      <c r="B121" s="327" t="s">
        <v>28</v>
      </c>
      <c r="C121" s="326" t="s">
        <v>1228</v>
      </c>
      <c r="D121" s="327" t="s">
        <v>1233</v>
      </c>
      <c r="E121" s="327" t="s">
        <v>33</v>
      </c>
      <c r="F121" s="354">
        <v>41183</v>
      </c>
      <c r="G121" s="354">
        <v>41309</v>
      </c>
      <c r="H121" s="354">
        <v>41312</v>
      </c>
      <c r="I121" s="355">
        <v>7381.64</v>
      </c>
      <c r="J121" s="355"/>
      <c r="K121" s="355"/>
      <c r="L121" s="330"/>
      <c r="M121" s="356"/>
      <c r="O121" s="305">
        <f t="shared" si="1"/>
        <v>0</v>
      </c>
    </row>
    <row r="122" spans="1:15" s="322" customFormat="1" ht="12">
      <c r="A122" s="365" t="s">
        <v>1219</v>
      </c>
      <c r="B122" s="317" t="s">
        <v>93</v>
      </c>
      <c r="C122" s="318" t="s">
        <v>1228</v>
      </c>
      <c r="D122" s="317" t="s">
        <v>1233</v>
      </c>
      <c r="E122" s="317" t="s">
        <v>33</v>
      </c>
      <c r="F122" s="366">
        <v>41183</v>
      </c>
      <c r="G122" s="366">
        <v>41318</v>
      </c>
      <c r="H122" s="366">
        <v>41319</v>
      </c>
      <c r="I122" s="367">
        <v>280000</v>
      </c>
      <c r="J122" s="367"/>
      <c r="K122" s="367"/>
      <c r="L122" s="368"/>
      <c r="M122" s="369"/>
      <c r="O122" s="305">
        <f t="shared" si="1"/>
        <v>0</v>
      </c>
    </row>
    <row r="123" spans="1:15" s="322" customFormat="1" ht="12.6" thickBot="1">
      <c r="A123" s="353" t="s">
        <v>1307</v>
      </c>
      <c r="B123" s="327" t="s">
        <v>28</v>
      </c>
      <c r="C123" s="326" t="s">
        <v>1228</v>
      </c>
      <c r="D123" s="327" t="s">
        <v>1233</v>
      </c>
      <c r="E123" s="327" t="s">
        <v>33</v>
      </c>
      <c r="F123" s="354">
        <v>41183</v>
      </c>
      <c r="G123" s="354">
        <v>41478</v>
      </c>
      <c r="H123" s="354">
        <v>41481</v>
      </c>
      <c r="I123" s="355">
        <v>21537.51</v>
      </c>
      <c r="J123" s="355">
        <f>SUM(I121:I123)</f>
        <v>308919.15000000002</v>
      </c>
      <c r="K123" s="355">
        <v>118900</v>
      </c>
      <c r="L123" s="330">
        <f>+J123-K123</f>
        <v>190019.15000000002</v>
      </c>
      <c r="M123" s="356"/>
      <c r="O123" s="305">
        <f t="shared" si="1"/>
        <v>0</v>
      </c>
    </row>
    <row r="124" spans="1:15" s="322" customFormat="1" ht="12">
      <c r="A124" s="365" t="s">
        <v>478</v>
      </c>
      <c r="B124" s="317" t="s">
        <v>30</v>
      </c>
      <c r="C124" s="318" t="s">
        <v>479</v>
      </c>
      <c r="D124" s="317" t="s">
        <v>165</v>
      </c>
      <c r="E124" s="317" t="s">
        <v>33</v>
      </c>
      <c r="F124" s="366">
        <v>41225</v>
      </c>
      <c r="G124" s="366">
        <v>41261</v>
      </c>
      <c r="H124" s="366">
        <v>41269</v>
      </c>
      <c r="I124" s="367">
        <v>53000</v>
      </c>
      <c r="J124" s="367"/>
      <c r="K124" s="367"/>
      <c r="L124" s="368"/>
      <c r="M124" s="369"/>
      <c r="O124" s="305">
        <f t="shared" si="1"/>
        <v>0</v>
      </c>
    </row>
    <row r="125" spans="1:15" s="322" customFormat="1" ht="12.6" thickBot="1">
      <c r="A125" s="353" t="s">
        <v>480</v>
      </c>
      <c r="B125" s="327" t="s">
        <v>349</v>
      </c>
      <c r="C125" s="326" t="s">
        <v>479</v>
      </c>
      <c r="D125" s="327" t="s">
        <v>165</v>
      </c>
      <c r="E125" s="327" t="s">
        <v>33</v>
      </c>
      <c r="F125" s="354">
        <v>41225</v>
      </c>
      <c r="G125" s="354">
        <v>41261</v>
      </c>
      <c r="H125" s="354">
        <v>41269</v>
      </c>
      <c r="I125" s="355">
        <v>183662.12</v>
      </c>
      <c r="J125" s="355">
        <f>SUM(I124:I125)</f>
        <v>236662.12</v>
      </c>
      <c r="K125" s="355">
        <v>118900</v>
      </c>
      <c r="L125" s="330">
        <f>J125-K125</f>
        <v>117762.12</v>
      </c>
      <c r="M125" s="356"/>
      <c r="O125" s="305">
        <f t="shared" si="1"/>
        <v>0</v>
      </c>
    </row>
    <row r="126" spans="1:15" s="322" customFormat="1" ht="12.6" thickBot="1">
      <c r="A126" s="332" t="s">
        <v>481</v>
      </c>
      <c r="B126" s="333" t="s">
        <v>349</v>
      </c>
      <c r="C126" s="334" t="s">
        <v>482</v>
      </c>
      <c r="D126" s="333" t="s">
        <v>483</v>
      </c>
      <c r="E126" s="333" t="s">
        <v>33</v>
      </c>
      <c r="F126" s="335">
        <v>41109</v>
      </c>
      <c r="G126" s="335">
        <v>41226</v>
      </c>
      <c r="H126" s="335">
        <v>41226</v>
      </c>
      <c r="I126" s="336">
        <v>362987.46</v>
      </c>
      <c r="J126" s="336">
        <f>+I126</f>
        <v>362987.46</v>
      </c>
      <c r="K126" s="336">
        <v>118900</v>
      </c>
      <c r="L126" s="337">
        <f>J126-K126</f>
        <v>244087.46000000002</v>
      </c>
      <c r="M126" s="338"/>
      <c r="O126" s="305">
        <f t="shared" si="1"/>
        <v>0</v>
      </c>
    </row>
    <row r="127" spans="1:15" s="322" customFormat="1" ht="12.6" thickBot="1">
      <c r="A127" s="339" t="s">
        <v>484</v>
      </c>
      <c r="B127" s="340" t="s">
        <v>349</v>
      </c>
      <c r="C127" s="341" t="s">
        <v>485</v>
      </c>
      <c r="D127" s="340" t="s">
        <v>38</v>
      </c>
      <c r="E127" s="340" t="s">
        <v>33</v>
      </c>
      <c r="F127" s="342">
        <v>41110</v>
      </c>
      <c r="G127" s="342">
        <v>41159</v>
      </c>
      <c r="H127" s="342">
        <v>41169</v>
      </c>
      <c r="I127" s="343">
        <v>200000</v>
      </c>
      <c r="J127" s="343"/>
      <c r="K127" s="343"/>
      <c r="L127" s="344"/>
      <c r="M127" s="345"/>
      <c r="O127" s="305">
        <f t="shared" si="1"/>
        <v>0</v>
      </c>
    </row>
    <row r="128" spans="1:15" s="322" customFormat="1" ht="12">
      <c r="A128" s="346" t="s">
        <v>486</v>
      </c>
      <c r="B128" s="347" t="s">
        <v>30</v>
      </c>
      <c r="C128" s="348" t="s">
        <v>485</v>
      </c>
      <c r="D128" s="347" t="s">
        <v>38</v>
      </c>
      <c r="E128" s="347" t="s">
        <v>33</v>
      </c>
      <c r="F128" s="349">
        <v>41110</v>
      </c>
      <c r="G128" s="349">
        <v>41159</v>
      </c>
      <c r="H128" s="349">
        <v>41169</v>
      </c>
      <c r="I128" s="350">
        <v>53000</v>
      </c>
      <c r="J128" s="350">
        <f>+I128+I127</f>
        <v>253000</v>
      </c>
      <c r="K128" s="350">
        <v>118900</v>
      </c>
      <c r="L128" s="351">
        <f>J128-K128</f>
        <v>134100</v>
      </c>
      <c r="M128" s="352"/>
      <c r="O128" s="305">
        <f t="shared" si="1"/>
        <v>0</v>
      </c>
    </row>
    <row r="129" spans="1:15" s="322" customFormat="1" ht="12.6" thickBot="1">
      <c r="A129" s="353" t="s">
        <v>487</v>
      </c>
      <c r="B129" s="327" t="s">
        <v>349</v>
      </c>
      <c r="C129" s="326" t="s">
        <v>488</v>
      </c>
      <c r="D129" s="327" t="s">
        <v>25</v>
      </c>
      <c r="E129" s="327" t="s">
        <v>26</v>
      </c>
      <c r="F129" s="354">
        <v>40986</v>
      </c>
      <c r="G129" s="354">
        <v>41165</v>
      </c>
      <c r="H129" s="354">
        <v>41169</v>
      </c>
      <c r="I129" s="355">
        <v>53632.08</v>
      </c>
      <c r="J129" s="355"/>
      <c r="K129" s="355"/>
      <c r="L129" s="330"/>
      <c r="M129" s="356"/>
      <c r="O129" s="305">
        <f t="shared" si="1"/>
        <v>0</v>
      </c>
    </row>
    <row r="130" spans="1:15" s="322" customFormat="1" ht="12.6" thickBot="1">
      <c r="A130" s="339" t="s">
        <v>489</v>
      </c>
      <c r="B130" s="340" t="s">
        <v>30</v>
      </c>
      <c r="C130" s="341" t="s">
        <v>488</v>
      </c>
      <c r="D130" s="340" t="s">
        <v>25</v>
      </c>
      <c r="E130" s="340" t="s">
        <v>26</v>
      </c>
      <c r="F130" s="342">
        <v>40986</v>
      </c>
      <c r="G130" s="342">
        <v>41165</v>
      </c>
      <c r="H130" s="342">
        <v>41208</v>
      </c>
      <c r="I130" s="343">
        <v>74303.88</v>
      </c>
      <c r="J130" s="343">
        <f>+I130+I129</f>
        <v>127935.96</v>
      </c>
      <c r="K130" s="343">
        <v>118900</v>
      </c>
      <c r="L130" s="344">
        <f>J130-K130</f>
        <v>9035.9600000000064</v>
      </c>
      <c r="M130" s="345"/>
      <c r="O130" s="305">
        <f t="shared" si="1"/>
        <v>0</v>
      </c>
    </row>
    <row r="131" spans="1:15" s="322" customFormat="1" ht="12">
      <c r="A131" s="346" t="s">
        <v>490</v>
      </c>
      <c r="B131" s="347" t="s">
        <v>30</v>
      </c>
      <c r="C131" s="348" t="s">
        <v>491</v>
      </c>
      <c r="D131" s="347" t="s">
        <v>492</v>
      </c>
      <c r="E131" s="347" t="s">
        <v>33</v>
      </c>
      <c r="F131" s="349">
        <v>41186</v>
      </c>
      <c r="G131" s="349">
        <v>41261</v>
      </c>
      <c r="H131" s="349">
        <v>41269</v>
      </c>
      <c r="I131" s="350">
        <v>174656.62</v>
      </c>
      <c r="J131" s="350">
        <f>+I131</f>
        <v>174656.62</v>
      </c>
      <c r="K131" s="350">
        <v>118900</v>
      </c>
      <c r="L131" s="351">
        <f>J131-K131</f>
        <v>55756.619999999995</v>
      </c>
      <c r="M131" s="352"/>
      <c r="O131" s="305">
        <f t="shared" si="1"/>
        <v>0</v>
      </c>
    </row>
    <row r="132" spans="1:15" s="322" customFormat="1" ht="12.6" thickBot="1">
      <c r="A132" s="353" t="s">
        <v>1238</v>
      </c>
      <c r="B132" s="327" t="s">
        <v>23</v>
      </c>
      <c r="C132" s="326" t="s">
        <v>1249</v>
      </c>
      <c r="D132" s="327" t="s">
        <v>38</v>
      </c>
      <c r="E132" s="327" t="s">
        <v>33</v>
      </c>
      <c r="F132" s="354">
        <v>41217</v>
      </c>
      <c r="G132" s="354">
        <v>41316</v>
      </c>
      <c r="H132" s="354">
        <v>41331</v>
      </c>
      <c r="I132" s="355">
        <v>27914.65</v>
      </c>
      <c r="J132" s="355"/>
      <c r="K132" s="355"/>
      <c r="L132" s="330"/>
      <c r="M132" s="356"/>
      <c r="O132" s="305">
        <f t="shared" si="1"/>
        <v>0</v>
      </c>
    </row>
    <row r="133" spans="1:15" s="322" customFormat="1" ht="12">
      <c r="A133" s="346" t="s">
        <v>1239</v>
      </c>
      <c r="B133" s="347" t="s">
        <v>28</v>
      </c>
      <c r="C133" s="348" t="s">
        <v>1249</v>
      </c>
      <c r="D133" s="347" t="s">
        <v>38</v>
      </c>
      <c r="E133" s="347" t="s">
        <v>33</v>
      </c>
      <c r="F133" s="349">
        <v>41217</v>
      </c>
      <c r="G133" s="349">
        <v>41316</v>
      </c>
      <c r="H133" s="349">
        <v>41331</v>
      </c>
      <c r="I133" s="350">
        <v>145000</v>
      </c>
      <c r="J133" s="350">
        <f>+I133+I132</f>
        <v>172914.65</v>
      </c>
      <c r="K133" s="350">
        <v>118900</v>
      </c>
      <c r="L133" s="351">
        <f>+J133-K133</f>
        <v>54014.649999999994</v>
      </c>
      <c r="M133" s="352"/>
      <c r="O133" s="305">
        <f t="shared" si="1"/>
        <v>0</v>
      </c>
    </row>
    <row r="134" spans="1:15" s="322" customFormat="1" ht="12.6" thickBot="1">
      <c r="A134" s="353" t="s">
        <v>1240</v>
      </c>
      <c r="B134" s="327" t="s">
        <v>23</v>
      </c>
      <c r="C134" s="326" t="s">
        <v>1250</v>
      </c>
      <c r="D134" s="327" t="s">
        <v>1254</v>
      </c>
      <c r="E134" s="327" t="s">
        <v>33</v>
      </c>
      <c r="F134" s="354">
        <v>41215</v>
      </c>
      <c r="G134" s="354">
        <v>41306</v>
      </c>
      <c r="H134" s="354">
        <v>41318</v>
      </c>
      <c r="I134" s="355">
        <v>42840.08</v>
      </c>
      <c r="J134" s="355"/>
      <c r="K134" s="355"/>
      <c r="L134" s="330"/>
      <c r="M134" s="356"/>
      <c r="O134" s="305">
        <f t="shared" si="1"/>
        <v>0</v>
      </c>
    </row>
    <row r="135" spans="1:15" s="322" customFormat="1" ht="12">
      <c r="A135" s="346" t="s">
        <v>1241</v>
      </c>
      <c r="B135" s="347" t="s">
        <v>28</v>
      </c>
      <c r="C135" s="348" t="s">
        <v>1250</v>
      </c>
      <c r="D135" s="347" t="s">
        <v>1254</v>
      </c>
      <c r="E135" s="347" t="s">
        <v>33</v>
      </c>
      <c r="F135" s="349">
        <v>41215</v>
      </c>
      <c r="G135" s="349">
        <v>41306</v>
      </c>
      <c r="H135" s="349">
        <v>41318</v>
      </c>
      <c r="I135" s="350">
        <v>57053.82</v>
      </c>
      <c r="J135" s="350"/>
      <c r="K135" s="350"/>
      <c r="L135" s="351"/>
      <c r="M135" s="352"/>
      <c r="O135" s="305">
        <f t="shared" si="1"/>
        <v>0</v>
      </c>
    </row>
    <row r="136" spans="1:15" s="322" customFormat="1" ht="12.6" thickBot="1">
      <c r="A136" s="353" t="s">
        <v>1242</v>
      </c>
      <c r="B136" s="327" t="s">
        <v>393</v>
      </c>
      <c r="C136" s="326" t="s">
        <v>1250</v>
      </c>
      <c r="D136" s="327" t="s">
        <v>1254</v>
      </c>
      <c r="E136" s="327" t="s">
        <v>33</v>
      </c>
      <c r="F136" s="354">
        <v>41215</v>
      </c>
      <c r="G136" s="354">
        <v>41306</v>
      </c>
      <c r="H136" s="354">
        <v>41318</v>
      </c>
      <c r="I136" s="355">
        <v>20000</v>
      </c>
      <c r="J136" s="355">
        <f>SUM(I134:I136)</f>
        <v>119893.9</v>
      </c>
      <c r="K136" s="355">
        <v>118900</v>
      </c>
      <c r="L136" s="330">
        <f>+J136-K136</f>
        <v>993.89999999999418</v>
      </c>
      <c r="M136" s="356"/>
      <c r="O136" s="305">
        <f t="shared" si="1"/>
        <v>0</v>
      </c>
    </row>
    <row r="137" spans="1:15" s="322" customFormat="1" ht="12">
      <c r="A137" s="346" t="s">
        <v>493</v>
      </c>
      <c r="B137" s="347" t="s">
        <v>93</v>
      </c>
      <c r="C137" s="348" t="s">
        <v>494</v>
      </c>
      <c r="D137" s="347" t="s">
        <v>25</v>
      </c>
      <c r="E137" s="347" t="s">
        <v>26</v>
      </c>
      <c r="F137" s="349">
        <v>41170</v>
      </c>
      <c r="G137" s="349">
        <v>41186</v>
      </c>
      <c r="H137" s="349">
        <v>41204</v>
      </c>
      <c r="I137" s="350">
        <v>507500</v>
      </c>
      <c r="J137" s="350">
        <f>+I137</f>
        <v>507500</v>
      </c>
      <c r="K137" s="350">
        <v>118900</v>
      </c>
      <c r="L137" s="351">
        <f>J137-K137</f>
        <v>388600</v>
      </c>
      <c r="M137" s="352"/>
      <c r="O137" s="305">
        <f t="shared" si="1"/>
        <v>0</v>
      </c>
    </row>
    <row r="138" spans="1:15" s="322" customFormat="1" ht="12.6" thickBot="1">
      <c r="A138" s="353" t="s">
        <v>495</v>
      </c>
      <c r="B138" s="327" t="s">
        <v>30</v>
      </c>
      <c r="C138" s="326" t="s">
        <v>496</v>
      </c>
      <c r="D138" s="327" t="s">
        <v>38</v>
      </c>
      <c r="E138" s="327" t="s">
        <v>33</v>
      </c>
      <c r="F138" s="354">
        <v>41175</v>
      </c>
      <c r="G138" s="354">
        <v>41289</v>
      </c>
      <c r="H138" s="354">
        <v>41297</v>
      </c>
      <c r="I138" s="355">
        <v>49438.59</v>
      </c>
      <c r="J138" s="355"/>
      <c r="K138" s="355"/>
      <c r="L138" s="330"/>
      <c r="M138" s="356"/>
      <c r="O138" s="305">
        <f t="shared" si="1"/>
        <v>0</v>
      </c>
    </row>
    <row r="139" spans="1:15" s="322" customFormat="1" ht="12">
      <c r="A139" s="346" t="s">
        <v>497</v>
      </c>
      <c r="B139" s="347" t="s">
        <v>349</v>
      </c>
      <c r="C139" s="348" t="s">
        <v>496</v>
      </c>
      <c r="D139" s="347" t="s">
        <v>38</v>
      </c>
      <c r="E139" s="347" t="s">
        <v>33</v>
      </c>
      <c r="F139" s="349">
        <v>41175</v>
      </c>
      <c r="G139" s="349">
        <v>41289</v>
      </c>
      <c r="H139" s="349">
        <v>41298</v>
      </c>
      <c r="I139" s="350">
        <v>130666.66</v>
      </c>
      <c r="J139" s="350"/>
      <c r="K139" s="350"/>
      <c r="L139" s="351"/>
      <c r="M139" s="352"/>
      <c r="O139" s="305">
        <f t="shared" si="1"/>
        <v>0</v>
      </c>
    </row>
    <row r="140" spans="1:15" s="322" customFormat="1" ht="12.6" thickBot="1">
      <c r="A140" s="353" t="s">
        <v>495</v>
      </c>
      <c r="B140" s="327" t="s">
        <v>23</v>
      </c>
      <c r="C140" s="326" t="s">
        <v>496</v>
      </c>
      <c r="D140" s="327" t="s">
        <v>38</v>
      </c>
      <c r="E140" s="327" t="s">
        <v>33</v>
      </c>
      <c r="F140" s="354">
        <v>41175</v>
      </c>
      <c r="G140" s="354">
        <v>41289</v>
      </c>
      <c r="H140" s="354">
        <v>41297</v>
      </c>
      <c r="I140" s="355">
        <v>49438.59</v>
      </c>
      <c r="J140" s="355"/>
      <c r="K140" s="355"/>
      <c r="L140" s="330"/>
      <c r="M140" s="356"/>
      <c r="O140" s="305">
        <f t="shared" ref="O140:O203" si="2">IF($J140&gt;P$8,$J140-P$8,0)</f>
        <v>0</v>
      </c>
    </row>
    <row r="141" spans="1:15" s="322" customFormat="1" ht="12">
      <c r="A141" s="346" t="s">
        <v>497</v>
      </c>
      <c r="B141" s="347" t="s">
        <v>28</v>
      </c>
      <c r="C141" s="348" t="s">
        <v>496</v>
      </c>
      <c r="D141" s="347" t="s">
        <v>38</v>
      </c>
      <c r="E141" s="347" t="s">
        <v>33</v>
      </c>
      <c r="F141" s="349">
        <v>41175</v>
      </c>
      <c r="G141" s="349">
        <v>41289</v>
      </c>
      <c r="H141" s="349">
        <v>41298</v>
      </c>
      <c r="I141" s="350">
        <v>130666.66</v>
      </c>
      <c r="J141" s="350">
        <f>SUM(I138:I141)</f>
        <v>360210.5</v>
      </c>
      <c r="K141" s="350">
        <v>118900</v>
      </c>
      <c r="L141" s="351">
        <f>+J141-K141</f>
        <v>241310.5</v>
      </c>
      <c r="M141" s="352"/>
      <c r="O141" s="305">
        <f t="shared" si="2"/>
        <v>0</v>
      </c>
    </row>
    <row r="142" spans="1:15" s="322" customFormat="1" ht="12.6" thickBot="1">
      <c r="A142" s="353" t="s">
        <v>1282</v>
      </c>
      <c r="B142" s="327" t="s">
        <v>30</v>
      </c>
      <c r="C142" s="326" t="s">
        <v>1288</v>
      </c>
      <c r="D142" s="327" t="s">
        <v>84</v>
      </c>
      <c r="E142" s="327" t="s">
        <v>33</v>
      </c>
      <c r="F142" s="354">
        <v>40961</v>
      </c>
      <c r="G142" s="354">
        <v>41397</v>
      </c>
      <c r="H142" s="354">
        <v>41408</v>
      </c>
      <c r="I142" s="355">
        <v>153000</v>
      </c>
      <c r="J142" s="355"/>
      <c r="K142" s="355"/>
      <c r="L142" s="330"/>
      <c r="M142" s="356"/>
      <c r="O142" s="305">
        <f t="shared" si="2"/>
        <v>0</v>
      </c>
    </row>
    <row r="143" spans="1:15" s="322" customFormat="1" ht="12">
      <c r="A143" s="346" t="s">
        <v>1283</v>
      </c>
      <c r="B143" s="347" t="s">
        <v>28</v>
      </c>
      <c r="C143" s="348" t="s">
        <v>1288</v>
      </c>
      <c r="D143" s="347" t="s">
        <v>84</v>
      </c>
      <c r="E143" s="347" t="s">
        <v>33</v>
      </c>
      <c r="F143" s="349">
        <v>40961</v>
      </c>
      <c r="G143" s="349">
        <v>41397</v>
      </c>
      <c r="H143" s="349">
        <v>41408</v>
      </c>
      <c r="I143" s="350">
        <v>250000</v>
      </c>
      <c r="J143" s="350">
        <f>+I143+I142</f>
        <v>403000</v>
      </c>
      <c r="K143" s="350">
        <v>118900</v>
      </c>
      <c r="L143" s="351">
        <f>+J143-K143</f>
        <v>284100</v>
      </c>
      <c r="M143" s="352"/>
      <c r="O143" s="305">
        <f t="shared" si="2"/>
        <v>0</v>
      </c>
    </row>
    <row r="144" spans="1:15" s="322" customFormat="1" ht="12.6" thickBot="1">
      <c r="A144" s="353" t="s">
        <v>498</v>
      </c>
      <c r="B144" s="327" t="s">
        <v>30</v>
      </c>
      <c r="C144" s="326" t="s">
        <v>499</v>
      </c>
      <c r="D144" s="327" t="s">
        <v>500</v>
      </c>
      <c r="E144" s="327" t="s">
        <v>33</v>
      </c>
      <c r="F144" s="354">
        <v>41063</v>
      </c>
      <c r="G144" s="354">
        <v>41099</v>
      </c>
      <c r="H144" s="354">
        <v>41108</v>
      </c>
      <c r="I144" s="355">
        <v>86832.42</v>
      </c>
      <c r="J144" s="355"/>
      <c r="K144" s="355"/>
      <c r="L144" s="330"/>
      <c r="M144" s="356"/>
      <c r="O144" s="305">
        <f t="shared" si="2"/>
        <v>0</v>
      </c>
    </row>
    <row r="145" spans="1:15" s="322" customFormat="1" ht="12">
      <c r="A145" s="346" t="s">
        <v>501</v>
      </c>
      <c r="B145" s="347" t="s">
        <v>349</v>
      </c>
      <c r="C145" s="348" t="s">
        <v>499</v>
      </c>
      <c r="D145" s="347" t="s">
        <v>500</v>
      </c>
      <c r="E145" s="347" t="s">
        <v>33</v>
      </c>
      <c r="F145" s="349">
        <v>41063</v>
      </c>
      <c r="G145" s="349">
        <v>41099</v>
      </c>
      <c r="H145" s="349">
        <v>41141</v>
      </c>
      <c r="I145" s="350">
        <v>228734.64</v>
      </c>
      <c r="J145" s="350"/>
      <c r="K145" s="350"/>
      <c r="L145" s="351"/>
      <c r="M145" s="352"/>
      <c r="O145" s="305">
        <f t="shared" si="2"/>
        <v>0</v>
      </c>
    </row>
    <row r="146" spans="1:15" s="322" customFormat="1" ht="12.6" thickBot="1">
      <c r="A146" s="353" t="s">
        <v>502</v>
      </c>
      <c r="B146" s="327" t="s">
        <v>30</v>
      </c>
      <c r="C146" s="326" t="s">
        <v>499</v>
      </c>
      <c r="D146" s="327" t="s">
        <v>500</v>
      </c>
      <c r="E146" s="327" t="s">
        <v>33</v>
      </c>
      <c r="F146" s="354">
        <v>41063</v>
      </c>
      <c r="G146" s="354">
        <v>41142</v>
      </c>
      <c r="H146" s="354">
        <v>41143</v>
      </c>
      <c r="I146" s="355">
        <v>8358.84</v>
      </c>
      <c r="J146" s="355"/>
      <c r="K146" s="355"/>
      <c r="L146" s="330"/>
      <c r="M146" s="356"/>
      <c r="O146" s="305">
        <f t="shared" si="2"/>
        <v>0</v>
      </c>
    </row>
    <row r="147" spans="1:15" s="322" customFormat="1" ht="12.6" thickBot="1">
      <c r="A147" s="332" t="s">
        <v>503</v>
      </c>
      <c r="B147" s="333" t="s">
        <v>30</v>
      </c>
      <c r="C147" s="334" t="s">
        <v>499</v>
      </c>
      <c r="D147" s="333" t="s">
        <v>500</v>
      </c>
      <c r="E147" s="333" t="s">
        <v>33</v>
      </c>
      <c r="F147" s="335">
        <v>41063</v>
      </c>
      <c r="G147" s="335">
        <v>41222</v>
      </c>
      <c r="H147" s="335">
        <v>41225</v>
      </c>
      <c r="I147" s="336">
        <v>26657.55</v>
      </c>
      <c r="J147" s="336">
        <f>SUM(I144:I147)</f>
        <v>350583.45</v>
      </c>
      <c r="K147" s="336">
        <v>118900</v>
      </c>
      <c r="L147" s="337">
        <f>+J147-K147</f>
        <v>231683.45</v>
      </c>
      <c r="M147" s="338"/>
      <c r="O147" s="305">
        <f t="shared" si="2"/>
        <v>0</v>
      </c>
    </row>
    <row r="148" spans="1:15" s="322" customFormat="1" ht="12">
      <c r="A148" s="365" t="s">
        <v>504</v>
      </c>
      <c r="B148" s="317" t="s">
        <v>349</v>
      </c>
      <c r="C148" s="318" t="s">
        <v>505</v>
      </c>
      <c r="D148" s="317" t="s">
        <v>506</v>
      </c>
      <c r="E148" s="317" t="s">
        <v>33</v>
      </c>
      <c r="F148" s="366">
        <v>41100</v>
      </c>
      <c r="G148" s="366">
        <v>41150</v>
      </c>
      <c r="H148" s="366">
        <v>41157</v>
      </c>
      <c r="I148" s="367">
        <v>250000</v>
      </c>
      <c r="J148" s="367"/>
      <c r="K148" s="367"/>
      <c r="L148" s="368"/>
      <c r="M148" s="369"/>
      <c r="O148" s="305">
        <f t="shared" si="2"/>
        <v>0</v>
      </c>
    </row>
    <row r="149" spans="1:15" s="322" customFormat="1" ht="12.6" thickBot="1">
      <c r="A149" s="353" t="s">
        <v>507</v>
      </c>
      <c r="B149" s="327" t="s">
        <v>30</v>
      </c>
      <c r="C149" s="326" t="s">
        <v>505</v>
      </c>
      <c r="D149" s="327" t="s">
        <v>506</v>
      </c>
      <c r="E149" s="327" t="s">
        <v>33</v>
      </c>
      <c r="F149" s="354">
        <v>41100</v>
      </c>
      <c r="G149" s="354">
        <v>41150</v>
      </c>
      <c r="H149" s="354">
        <v>41157</v>
      </c>
      <c r="I149" s="355">
        <v>153000</v>
      </c>
      <c r="J149" s="355">
        <f>+I148+I149</f>
        <v>403000</v>
      </c>
      <c r="K149" s="355">
        <v>118900</v>
      </c>
      <c r="L149" s="330">
        <f>J149-K149</f>
        <v>284100</v>
      </c>
      <c r="M149" s="356"/>
      <c r="O149" s="305">
        <f t="shared" si="2"/>
        <v>0</v>
      </c>
    </row>
    <row r="150" spans="1:15" s="322" customFormat="1" ht="12">
      <c r="A150" s="365" t="s">
        <v>508</v>
      </c>
      <c r="B150" s="317" t="s">
        <v>349</v>
      </c>
      <c r="C150" s="318" t="s">
        <v>509</v>
      </c>
      <c r="D150" s="317" t="s">
        <v>38</v>
      </c>
      <c r="E150" s="317" t="s">
        <v>33</v>
      </c>
      <c r="F150" s="366">
        <v>41156</v>
      </c>
      <c r="G150" s="366">
        <v>41247</v>
      </c>
      <c r="H150" s="366">
        <v>41250</v>
      </c>
      <c r="I150" s="367">
        <v>65000</v>
      </c>
      <c r="J150" s="367"/>
      <c r="K150" s="367"/>
      <c r="L150" s="368"/>
      <c r="M150" s="369"/>
      <c r="O150" s="305">
        <f t="shared" si="2"/>
        <v>0</v>
      </c>
    </row>
    <row r="151" spans="1:15" s="322" customFormat="1" ht="12.6" thickBot="1">
      <c r="A151" s="353" t="s">
        <v>510</v>
      </c>
      <c r="B151" s="327" t="s">
        <v>30</v>
      </c>
      <c r="C151" s="326" t="s">
        <v>509</v>
      </c>
      <c r="D151" s="327" t="s">
        <v>38</v>
      </c>
      <c r="E151" s="327" t="s">
        <v>33</v>
      </c>
      <c r="F151" s="354">
        <v>41156</v>
      </c>
      <c r="G151" s="354">
        <v>41247</v>
      </c>
      <c r="H151" s="354">
        <v>41250</v>
      </c>
      <c r="I151" s="355">
        <v>8641.2199999999993</v>
      </c>
      <c r="J151" s="355"/>
      <c r="K151" s="355"/>
      <c r="L151" s="330"/>
      <c r="M151" s="356"/>
      <c r="O151" s="305">
        <f t="shared" si="2"/>
        <v>0</v>
      </c>
    </row>
    <row r="152" spans="1:15" s="322" customFormat="1" ht="12">
      <c r="A152" s="346" t="s">
        <v>511</v>
      </c>
      <c r="B152" s="347" t="s">
        <v>93</v>
      </c>
      <c r="C152" s="348" t="s">
        <v>509</v>
      </c>
      <c r="D152" s="347" t="s">
        <v>38</v>
      </c>
      <c r="E152" s="347" t="s">
        <v>33</v>
      </c>
      <c r="F152" s="349">
        <v>41156</v>
      </c>
      <c r="G152" s="349">
        <v>41247</v>
      </c>
      <c r="H152" s="349">
        <v>41257</v>
      </c>
      <c r="I152" s="350">
        <v>52500</v>
      </c>
      <c r="J152" s="350">
        <f>SUM(I150:I152)</f>
        <v>126141.22</v>
      </c>
      <c r="K152" s="350">
        <v>118900</v>
      </c>
      <c r="L152" s="351">
        <f>J152-K152</f>
        <v>7241.2200000000012</v>
      </c>
      <c r="M152" s="352"/>
      <c r="O152" s="305">
        <f t="shared" si="2"/>
        <v>0</v>
      </c>
    </row>
    <row r="153" spans="1:15" s="322" customFormat="1" ht="12.6" thickBot="1">
      <c r="A153" s="353" t="s">
        <v>512</v>
      </c>
      <c r="B153" s="327" t="s">
        <v>30</v>
      </c>
      <c r="C153" s="326" t="s">
        <v>513</v>
      </c>
      <c r="D153" s="327" t="s">
        <v>25</v>
      </c>
      <c r="E153" s="327" t="s">
        <v>26</v>
      </c>
      <c r="F153" s="354">
        <v>41152</v>
      </c>
      <c r="G153" s="354">
        <v>41176</v>
      </c>
      <c r="H153" s="354">
        <v>41186</v>
      </c>
      <c r="I153" s="355">
        <v>81695.08</v>
      </c>
      <c r="J153" s="355"/>
      <c r="K153" s="355"/>
      <c r="L153" s="330"/>
      <c r="M153" s="356"/>
      <c r="O153" s="305">
        <f t="shared" si="2"/>
        <v>0</v>
      </c>
    </row>
    <row r="154" spans="1:15" s="322" customFormat="1" ht="12.6" thickBot="1">
      <c r="A154" s="339" t="s">
        <v>514</v>
      </c>
      <c r="B154" s="340" t="s">
        <v>349</v>
      </c>
      <c r="C154" s="341" t="s">
        <v>513</v>
      </c>
      <c r="D154" s="340" t="s">
        <v>25</v>
      </c>
      <c r="E154" s="340" t="s">
        <v>26</v>
      </c>
      <c r="F154" s="342">
        <v>41152</v>
      </c>
      <c r="G154" s="342">
        <v>41176</v>
      </c>
      <c r="H154" s="342">
        <v>41187</v>
      </c>
      <c r="I154" s="343">
        <v>141200</v>
      </c>
      <c r="J154" s="343">
        <f>+I154+I153</f>
        <v>222895.08000000002</v>
      </c>
      <c r="K154" s="343">
        <v>118900</v>
      </c>
      <c r="L154" s="344">
        <f>J154-K154</f>
        <v>103995.08000000002</v>
      </c>
      <c r="M154" s="345"/>
      <c r="O154" s="305">
        <f t="shared" si="2"/>
        <v>0</v>
      </c>
    </row>
    <row r="155" spans="1:15" s="322" customFormat="1" ht="12">
      <c r="A155" s="346" t="s">
        <v>1284</v>
      </c>
      <c r="B155" s="347" t="s">
        <v>30</v>
      </c>
      <c r="C155" s="348" t="s">
        <v>1289</v>
      </c>
      <c r="D155" s="347" t="s">
        <v>38</v>
      </c>
      <c r="E155" s="347" t="s">
        <v>33</v>
      </c>
      <c r="F155" s="349">
        <v>41222</v>
      </c>
      <c r="G155" s="349">
        <v>41402</v>
      </c>
      <c r="H155" s="349">
        <v>41407</v>
      </c>
      <c r="I155" s="350">
        <v>52970.09</v>
      </c>
      <c r="J155" s="350"/>
      <c r="K155" s="350"/>
      <c r="L155" s="351"/>
      <c r="M155" s="352"/>
      <c r="O155" s="305">
        <f t="shared" si="2"/>
        <v>0</v>
      </c>
    </row>
    <row r="156" spans="1:15" s="322" customFormat="1" ht="12.6" thickBot="1">
      <c r="A156" s="353" t="s">
        <v>1285</v>
      </c>
      <c r="B156" s="327" t="s">
        <v>28</v>
      </c>
      <c r="C156" s="326" t="s">
        <v>1289</v>
      </c>
      <c r="D156" s="327" t="s">
        <v>38</v>
      </c>
      <c r="E156" s="327" t="s">
        <v>33</v>
      </c>
      <c r="F156" s="354">
        <v>41222</v>
      </c>
      <c r="G156" s="354">
        <v>41402</v>
      </c>
      <c r="H156" s="354">
        <v>41407</v>
      </c>
      <c r="I156" s="355">
        <v>175749.2</v>
      </c>
      <c r="J156" s="343">
        <f>+I156+I155</f>
        <v>228719.29</v>
      </c>
      <c r="K156" s="343">
        <v>118900</v>
      </c>
      <c r="L156" s="344">
        <f>J156-K156</f>
        <v>109819.29000000001</v>
      </c>
      <c r="M156" s="356"/>
      <c r="O156" s="305">
        <f t="shared" si="2"/>
        <v>0</v>
      </c>
    </row>
    <row r="157" spans="1:15" s="322" customFormat="1" ht="12.6" thickBot="1">
      <c r="A157" s="339" t="s">
        <v>515</v>
      </c>
      <c r="B157" s="340" t="s">
        <v>349</v>
      </c>
      <c r="C157" s="341" t="s">
        <v>516</v>
      </c>
      <c r="D157" s="340" t="s">
        <v>517</v>
      </c>
      <c r="E157" s="340" t="s">
        <v>33</v>
      </c>
      <c r="F157" s="342">
        <v>41187</v>
      </c>
      <c r="G157" s="342">
        <v>41249</v>
      </c>
      <c r="H157" s="342">
        <v>41250</v>
      </c>
      <c r="I157" s="343">
        <v>220198.65</v>
      </c>
      <c r="J157" s="343"/>
      <c r="K157" s="343"/>
      <c r="L157" s="344"/>
      <c r="M157" s="345"/>
      <c r="O157" s="305">
        <f t="shared" si="2"/>
        <v>0</v>
      </c>
    </row>
    <row r="158" spans="1:15" s="322" customFormat="1" ht="12">
      <c r="A158" s="346" t="s">
        <v>518</v>
      </c>
      <c r="B158" s="347" t="s">
        <v>30</v>
      </c>
      <c r="C158" s="348" t="s">
        <v>516</v>
      </c>
      <c r="D158" s="347" t="s">
        <v>517</v>
      </c>
      <c r="E158" s="347" t="s">
        <v>33</v>
      </c>
      <c r="F158" s="349">
        <v>41187</v>
      </c>
      <c r="G158" s="349">
        <v>41249</v>
      </c>
      <c r="H158" s="349">
        <v>41250</v>
      </c>
      <c r="I158" s="350">
        <v>89166.48</v>
      </c>
      <c r="J158" s="350"/>
      <c r="K158" s="350"/>
      <c r="L158" s="351"/>
      <c r="M158" s="352"/>
      <c r="O158" s="305">
        <f t="shared" si="2"/>
        <v>0</v>
      </c>
    </row>
    <row r="159" spans="1:15" s="322" customFormat="1" ht="12.6" thickBot="1">
      <c r="A159" s="353" t="s">
        <v>515</v>
      </c>
      <c r="B159" s="327" t="s">
        <v>349</v>
      </c>
      <c r="C159" s="326" t="s">
        <v>516</v>
      </c>
      <c r="D159" s="327" t="s">
        <v>517</v>
      </c>
      <c r="E159" s="327" t="s">
        <v>33</v>
      </c>
      <c r="F159" s="354">
        <v>41187</v>
      </c>
      <c r="G159" s="354">
        <v>41249</v>
      </c>
      <c r="H159" s="354">
        <v>41250</v>
      </c>
      <c r="I159" s="355">
        <v>19047.18</v>
      </c>
      <c r="J159" s="355">
        <f>SUM(I157:I159)</f>
        <v>328412.31</v>
      </c>
      <c r="K159" s="355">
        <v>118900</v>
      </c>
      <c r="L159" s="330">
        <f>+J159-K159</f>
        <v>209512.31</v>
      </c>
      <c r="M159" s="356"/>
      <c r="O159" s="305">
        <f t="shared" si="2"/>
        <v>0</v>
      </c>
    </row>
    <row r="160" spans="1:15" s="322" customFormat="1" ht="12.6" thickBot="1">
      <c r="A160" s="353" t="s">
        <v>519</v>
      </c>
      <c r="B160" s="327" t="s">
        <v>30</v>
      </c>
      <c r="C160" s="326" t="s">
        <v>520</v>
      </c>
      <c r="D160" s="327" t="s">
        <v>521</v>
      </c>
      <c r="E160" s="327" t="s">
        <v>33</v>
      </c>
      <c r="F160" s="354">
        <v>41132</v>
      </c>
      <c r="G160" s="354">
        <v>41254</v>
      </c>
      <c r="H160" s="354">
        <v>41262</v>
      </c>
      <c r="I160" s="355">
        <v>6632.45</v>
      </c>
      <c r="J160" s="355"/>
      <c r="K160" s="355"/>
      <c r="L160" s="330"/>
      <c r="M160" s="356"/>
      <c r="O160" s="305">
        <f t="shared" si="2"/>
        <v>0</v>
      </c>
    </row>
    <row r="161" spans="1:15" s="322" customFormat="1" ht="12">
      <c r="A161" s="346" t="s">
        <v>522</v>
      </c>
      <c r="B161" s="347" t="s">
        <v>349</v>
      </c>
      <c r="C161" s="348" t="s">
        <v>520</v>
      </c>
      <c r="D161" s="347" t="s">
        <v>521</v>
      </c>
      <c r="E161" s="347" t="s">
        <v>33</v>
      </c>
      <c r="F161" s="349">
        <v>41132</v>
      </c>
      <c r="G161" s="349">
        <v>41254</v>
      </c>
      <c r="H161" s="349">
        <v>41262</v>
      </c>
      <c r="I161" s="350">
        <v>79000</v>
      </c>
      <c r="J161" s="350"/>
      <c r="K161" s="350"/>
      <c r="L161" s="351"/>
      <c r="M161" s="352"/>
      <c r="O161" s="305">
        <f t="shared" si="2"/>
        <v>0</v>
      </c>
    </row>
    <row r="162" spans="1:15" s="322" customFormat="1" ht="12">
      <c r="A162" s="370" t="s">
        <v>523</v>
      </c>
      <c r="B162" s="281" t="s">
        <v>353</v>
      </c>
      <c r="C162" s="282" t="s">
        <v>520</v>
      </c>
      <c r="D162" s="281" t="s">
        <v>521</v>
      </c>
      <c r="E162" s="281" t="s">
        <v>33</v>
      </c>
      <c r="F162" s="283">
        <v>41132</v>
      </c>
      <c r="G162" s="283">
        <v>41254</v>
      </c>
      <c r="H162" s="283">
        <v>41262</v>
      </c>
      <c r="I162" s="284">
        <v>48638.21</v>
      </c>
      <c r="J162" s="284">
        <f>SUM(I160:I162)</f>
        <v>134270.66</v>
      </c>
      <c r="K162" s="284">
        <v>118900</v>
      </c>
      <c r="L162" s="285">
        <f>J162-K162</f>
        <v>15370.660000000003</v>
      </c>
      <c r="M162" s="364"/>
      <c r="O162" s="305">
        <f t="shared" si="2"/>
        <v>0</v>
      </c>
    </row>
    <row r="163" spans="1:15" s="322" customFormat="1" ht="12.6" thickBot="1">
      <c r="A163" s="353" t="s">
        <v>524</v>
      </c>
      <c r="B163" s="327" t="s">
        <v>349</v>
      </c>
      <c r="C163" s="326" t="s">
        <v>525</v>
      </c>
      <c r="D163" s="327" t="s">
        <v>38</v>
      </c>
      <c r="E163" s="327" t="s">
        <v>33</v>
      </c>
      <c r="F163" s="354">
        <v>41090</v>
      </c>
      <c r="G163" s="354">
        <v>41131</v>
      </c>
      <c r="H163" s="354">
        <v>41141</v>
      </c>
      <c r="I163" s="355">
        <v>159440.45000000001</v>
      </c>
      <c r="J163" s="355">
        <f>+I163</f>
        <v>159440.45000000001</v>
      </c>
      <c r="K163" s="355">
        <v>118900</v>
      </c>
      <c r="L163" s="330">
        <f>J163-K163</f>
        <v>40540.450000000012</v>
      </c>
      <c r="M163" s="356"/>
      <c r="O163" s="305">
        <f t="shared" si="2"/>
        <v>0</v>
      </c>
    </row>
    <row r="164" spans="1:15" s="322" customFormat="1" ht="12">
      <c r="A164" s="365" t="s">
        <v>526</v>
      </c>
      <c r="B164" s="317" t="s">
        <v>30</v>
      </c>
      <c r="C164" s="318" t="s">
        <v>527</v>
      </c>
      <c r="D164" s="317" t="s">
        <v>528</v>
      </c>
      <c r="E164" s="317" t="s">
        <v>33</v>
      </c>
      <c r="F164" s="366">
        <v>41257</v>
      </c>
      <c r="G164" s="366">
        <v>41277</v>
      </c>
      <c r="H164" s="366">
        <v>41292</v>
      </c>
      <c r="I164" s="367">
        <v>61317.52</v>
      </c>
      <c r="J164" s="367"/>
      <c r="K164" s="367"/>
      <c r="L164" s="368"/>
      <c r="M164" s="369"/>
      <c r="O164" s="305">
        <f t="shared" si="2"/>
        <v>0</v>
      </c>
    </row>
    <row r="165" spans="1:15" s="322" customFormat="1" ht="12.6" thickBot="1">
      <c r="A165" s="353" t="s">
        <v>529</v>
      </c>
      <c r="B165" s="327" t="s">
        <v>349</v>
      </c>
      <c r="C165" s="326" t="s">
        <v>527</v>
      </c>
      <c r="D165" s="327" t="s">
        <v>530</v>
      </c>
      <c r="E165" s="327" t="s">
        <v>33</v>
      </c>
      <c r="F165" s="354">
        <v>41257</v>
      </c>
      <c r="G165" s="354">
        <v>41277</v>
      </c>
      <c r="H165" s="354">
        <v>41297</v>
      </c>
      <c r="I165" s="355">
        <v>100000</v>
      </c>
      <c r="J165" s="355">
        <f>+I165+I164</f>
        <v>161317.51999999999</v>
      </c>
      <c r="K165" s="355">
        <v>118900</v>
      </c>
      <c r="L165" s="330">
        <f>+J165-K165</f>
        <v>42417.51999999999</v>
      </c>
      <c r="M165" s="356"/>
      <c r="O165" s="305">
        <f t="shared" si="2"/>
        <v>0</v>
      </c>
    </row>
    <row r="166" spans="1:15" s="322" customFormat="1" ht="12.6" thickBot="1">
      <c r="A166" s="353" t="s">
        <v>1315</v>
      </c>
      <c r="B166" s="327" t="s">
        <v>23</v>
      </c>
      <c r="C166" s="326" t="s">
        <v>1317</v>
      </c>
      <c r="D166" s="327" t="s">
        <v>38</v>
      </c>
      <c r="E166" s="327" t="s">
        <v>33</v>
      </c>
      <c r="F166" s="354">
        <v>41247</v>
      </c>
      <c r="G166" s="354">
        <v>41579</v>
      </c>
      <c r="H166" s="354">
        <v>41598</v>
      </c>
      <c r="I166" s="355">
        <v>35162.619999999995</v>
      </c>
      <c r="J166" s="355"/>
      <c r="K166" s="355"/>
      <c r="L166" s="330"/>
      <c r="M166" s="356"/>
      <c r="O166" s="305">
        <f t="shared" si="2"/>
        <v>0</v>
      </c>
    </row>
    <row r="167" spans="1:15" s="322" customFormat="1" ht="12.6" thickBot="1">
      <c r="A167" s="353" t="s">
        <v>1316</v>
      </c>
      <c r="B167" s="327" t="s">
        <v>28</v>
      </c>
      <c r="C167" s="326" t="s">
        <v>1317</v>
      </c>
      <c r="D167" s="327" t="s">
        <v>38</v>
      </c>
      <c r="E167" s="327" t="s">
        <v>33</v>
      </c>
      <c r="F167" s="354">
        <v>41247</v>
      </c>
      <c r="G167" s="354">
        <v>41579</v>
      </c>
      <c r="H167" s="354">
        <v>41598</v>
      </c>
      <c r="I167" s="355">
        <v>115000</v>
      </c>
      <c r="J167" s="355">
        <f>+I167+I166</f>
        <v>150162.62</v>
      </c>
      <c r="K167" s="355">
        <v>118900</v>
      </c>
      <c r="L167" s="330">
        <f>+J167-K167</f>
        <v>31262.619999999995</v>
      </c>
      <c r="M167" s="356"/>
      <c r="O167" s="305">
        <f t="shared" si="2"/>
        <v>0</v>
      </c>
    </row>
    <row r="168" spans="1:15" s="322" customFormat="1" ht="12.6" thickBot="1">
      <c r="A168" s="353" t="s">
        <v>531</v>
      </c>
      <c r="B168" s="327" t="s">
        <v>349</v>
      </c>
      <c r="C168" s="326" t="s">
        <v>532</v>
      </c>
      <c r="D168" s="327" t="s">
        <v>59</v>
      </c>
      <c r="E168" s="327" t="s">
        <v>33</v>
      </c>
      <c r="F168" s="354">
        <v>40965</v>
      </c>
      <c r="G168" s="354">
        <v>41085</v>
      </c>
      <c r="H168" s="354">
        <v>41086</v>
      </c>
      <c r="I168" s="355">
        <v>100000</v>
      </c>
      <c r="J168" s="355"/>
      <c r="K168" s="355"/>
      <c r="L168" s="330"/>
      <c r="M168" s="356"/>
      <c r="O168" s="305">
        <f t="shared" si="2"/>
        <v>0</v>
      </c>
    </row>
    <row r="169" spans="1:15" s="322" customFormat="1" ht="12.6" thickBot="1">
      <c r="A169" s="353" t="s">
        <v>533</v>
      </c>
      <c r="B169" s="327" t="s">
        <v>30</v>
      </c>
      <c r="C169" s="326" t="s">
        <v>532</v>
      </c>
      <c r="D169" s="327" t="s">
        <v>59</v>
      </c>
      <c r="E169" s="327" t="s">
        <v>33</v>
      </c>
      <c r="F169" s="354">
        <v>40965</v>
      </c>
      <c r="G169" s="354">
        <v>41085</v>
      </c>
      <c r="H169" s="354">
        <v>41086</v>
      </c>
      <c r="I169" s="355">
        <v>29000</v>
      </c>
      <c r="J169" s="355">
        <f>+I168+I169</f>
        <v>129000</v>
      </c>
      <c r="K169" s="355">
        <v>118900</v>
      </c>
      <c r="L169" s="330">
        <f>J169-K169</f>
        <v>10100</v>
      </c>
      <c r="M169" s="356"/>
      <c r="O169" s="305">
        <f t="shared" si="2"/>
        <v>0</v>
      </c>
    </row>
    <row r="170" spans="1:15" s="322" customFormat="1" ht="12.6" thickBot="1">
      <c r="A170" s="353" t="s">
        <v>1204</v>
      </c>
      <c r="B170" s="327" t="s">
        <v>23</v>
      </c>
      <c r="C170" s="326" t="s">
        <v>1206</v>
      </c>
      <c r="D170" s="327" t="s">
        <v>506</v>
      </c>
      <c r="E170" s="327" t="s">
        <v>33</v>
      </c>
      <c r="F170" s="354">
        <v>41236</v>
      </c>
      <c r="G170" s="354">
        <v>41299</v>
      </c>
      <c r="H170" s="354">
        <v>41312</v>
      </c>
      <c r="I170" s="355">
        <v>146632.41999999998</v>
      </c>
      <c r="J170" s="355"/>
      <c r="K170" s="355"/>
      <c r="L170" s="330"/>
      <c r="M170" s="356"/>
      <c r="O170" s="305">
        <f t="shared" si="2"/>
        <v>0</v>
      </c>
    </row>
    <row r="171" spans="1:15" s="322" customFormat="1" ht="12.6" thickBot="1">
      <c r="A171" s="353" t="s">
        <v>1205</v>
      </c>
      <c r="B171" s="327" t="s">
        <v>250</v>
      </c>
      <c r="C171" s="326" t="s">
        <v>1206</v>
      </c>
      <c r="D171" s="327" t="s">
        <v>506</v>
      </c>
      <c r="E171" s="327" t="s">
        <v>33</v>
      </c>
      <c r="F171" s="354">
        <v>41236</v>
      </c>
      <c r="G171" s="354">
        <v>41299</v>
      </c>
      <c r="H171" s="354">
        <v>41312</v>
      </c>
      <c r="I171" s="355">
        <v>10000.08</v>
      </c>
      <c r="J171" s="355">
        <f>+I170+I171</f>
        <v>156632.49999999997</v>
      </c>
      <c r="K171" s="355">
        <v>118900</v>
      </c>
      <c r="L171" s="330">
        <f>J171-K171</f>
        <v>37732.499999999971</v>
      </c>
      <c r="M171" s="356"/>
      <c r="O171" s="305">
        <f t="shared" si="2"/>
        <v>0</v>
      </c>
    </row>
    <row r="172" spans="1:15" s="322" customFormat="1" ht="12.6" thickBot="1">
      <c r="A172" s="353" t="s">
        <v>534</v>
      </c>
      <c r="B172" s="327" t="s">
        <v>30</v>
      </c>
      <c r="C172" s="326" t="s">
        <v>535</v>
      </c>
      <c r="D172" s="327" t="s">
        <v>84</v>
      </c>
      <c r="E172" s="327" t="s">
        <v>33</v>
      </c>
      <c r="F172" s="354">
        <v>40960</v>
      </c>
      <c r="G172" s="354">
        <v>41071</v>
      </c>
      <c r="H172" s="354">
        <v>41074</v>
      </c>
      <c r="I172" s="355">
        <v>84186.54</v>
      </c>
      <c r="J172" s="355"/>
      <c r="K172" s="355"/>
      <c r="L172" s="330"/>
      <c r="M172" s="356"/>
      <c r="O172" s="305">
        <f t="shared" si="2"/>
        <v>0</v>
      </c>
    </row>
    <row r="173" spans="1:15" s="322" customFormat="1" ht="12.6" thickBot="1">
      <c r="A173" s="353" t="s">
        <v>536</v>
      </c>
      <c r="B173" s="327" t="s">
        <v>349</v>
      </c>
      <c r="C173" s="326" t="s">
        <v>535</v>
      </c>
      <c r="D173" s="327" t="s">
        <v>84</v>
      </c>
      <c r="E173" s="327" t="s">
        <v>33</v>
      </c>
      <c r="F173" s="354">
        <v>40960</v>
      </c>
      <c r="G173" s="354">
        <v>41071</v>
      </c>
      <c r="H173" s="354">
        <v>41079</v>
      </c>
      <c r="I173" s="355">
        <v>57018.58</v>
      </c>
      <c r="J173" s="355">
        <f>+I172+I173</f>
        <v>141205.12</v>
      </c>
      <c r="K173" s="355">
        <v>118900</v>
      </c>
      <c r="L173" s="330">
        <f>J173-K173</f>
        <v>22305.119999999995</v>
      </c>
      <c r="M173" s="356"/>
      <c r="O173" s="305">
        <f t="shared" si="2"/>
        <v>0</v>
      </c>
    </row>
    <row r="174" spans="1:15" s="322" customFormat="1" ht="12.6" thickBot="1">
      <c r="A174" s="353" t="s">
        <v>1319</v>
      </c>
      <c r="B174" s="327" t="s">
        <v>23</v>
      </c>
      <c r="C174" s="326" t="s">
        <v>1321</v>
      </c>
      <c r="D174" s="327" t="s">
        <v>33</v>
      </c>
      <c r="E174" s="327" t="s">
        <v>1322</v>
      </c>
      <c r="F174" s="354">
        <v>41260</v>
      </c>
      <c r="G174" s="354">
        <v>41775</v>
      </c>
      <c r="H174" s="354">
        <v>41786</v>
      </c>
      <c r="I174" s="355">
        <v>89876.42</v>
      </c>
      <c r="J174" s="355"/>
      <c r="K174" s="355"/>
      <c r="L174" s="330"/>
      <c r="M174" s="356"/>
      <c r="O174" s="305">
        <f t="shared" si="2"/>
        <v>0</v>
      </c>
    </row>
    <row r="175" spans="1:15" s="322" customFormat="1" ht="12.6" thickBot="1">
      <c r="A175" s="353" t="s">
        <v>1320</v>
      </c>
      <c r="B175" s="327" t="s">
        <v>28</v>
      </c>
      <c r="C175" s="326" t="s">
        <v>1321</v>
      </c>
      <c r="D175" s="327" t="s">
        <v>33</v>
      </c>
      <c r="E175" s="327" t="s">
        <v>1322</v>
      </c>
      <c r="F175" s="354">
        <v>41260</v>
      </c>
      <c r="G175" s="354">
        <v>41775</v>
      </c>
      <c r="H175" s="354">
        <v>41786</v>
      </c>
      <c r="I175" s="355">
        <v>120436.04</v>
      </c>
      <c r="J175" s="355">
        <f>+I174+I175</f>
        <v>210312.46</v>
      </c>
      <c r="K175" s="355">
        <v>118900</v>
      </c>
      <c r="L175" s="330">
        <f>J175-K175</f>
        <v>91412.459999999992</v>
      </c>
      <c r="M175" s="356"/>
      <c r="O175" s="305">
        <f t="shared" si="2"/>
        <v>0</v>
      </c>
    </row>
    <row r="176" spans="1:15" s="322" customFormat="1" ht="12.6" thickBot="1">
      <c r="A176" s="353" t="s">
        <v>1256</v>
      </c>
      <c r="B176" s="327" t="s">
        <v>23</v>
      </c>
      <c r="C176" s="326" t="s">
        <v>1261</v>
      </c>
      <c r="D176" s="327" t="s">
        <v>1263</v>
      </c>
      <c r="E176" s="327" t="s">
        <v>33</v>
      </c>
      <c r="F176" s="354">
        <v>41235</v>
      </c>
      <c r="G176" s="354">
        <v>41314</v>
      </c>
      <c r="H176" s="354">
        <v>41323</v>
      </c>
      <c r="I176" s="355">
        <v>73272.759999999995</v>
      </c>
      <c r="J176" s="355"/>
      <c r="K176" s="355"/>
      <c r="L176" s="330"/>
      <c r="M176" s="356"/>
      <c r="O176" s="305">
        <f t="shared" si="2"/>
        <v>0</v>
      </c>
    </row>
    <row r="177" spans="1:15" s="322" customFormat="1" ht="12.6" thickBot="1">
      <c r="A177" s="353" t="s">
        <v>1257</v>
      </c>
      <c r="B177" s="327" t="s">
        <v>28</v>
      </c>
      <c r="C177" s="326" t="s">
        <v>1261</v>
      </c>
      <c r="D177" s="327" t="s">
        <v>1263</v>
      </c>
      <c r="E177" s="327" t="s">
        <v>33</v>
      </c>
      <c r="F177" s="354">
        <v>41235</v>
      </c>
      <c r="G177" s="354">
        <v>41314</v>
      </c>
      <c r="H177" s="354">
        <v>41323</v>
      </c>
      <c r="I177" s="355">
        <v>63749.1</v>
      </c>
      <c r="J177" s="355"/>
      <c r="K177" s="355"/>
      <c r="L177" s="330"/>
      <c r="M177" s="356"/>
      <c r="O177" s="305">
        <f t="shared" si="2"/>
        <v>0</v>
      </c>
    </row>
    <row r="178" spans="1:15" s="322" customFormat="1" ht="12.6" thickBot="1">
      <c r="A178" s="353" t="s">
        <v>1258</v>
      </c>
      <c r="B178" s="327" t="s">
        <v>250</v>
      </c>
      <c r="C178" s="326" t="s">
        <v>1261</v>
      </c>
      <c r="D178" s="327" t="s">
        <v>1263</v>
      </c>
      <c r="E178" s="327" t="s">
        <v>33</v>
      </c>
      <c r="F178" s="354">
        <v>41235</v>
      </c>
      <c r="G178" s="354">
        <v>41314</v>
      </c>
      <c r="H178" s="354">
        <v>41323</v>
      </c>
      <c r="I178" s="355">
        <v>5000</v>
      </c>
      <c r="J178" s="355"/>
      <c r="K178" s="355"/>
      <c r="L178" s="330"/>
      <c r="M178" s="356"/>
      <c r="O178" s="305">
        <f t="shared" si="2"/>
        <v>0</v>
      </c>
    </row>
    <row r="179" spans="1:15" s="322" customFormat="1" ht="12.6" thickBot="1">
      <c r="A179" s="353" t="s">
        <v>1266</v>
      </c>
      <c r="B179" s="327" t="s">
        <v>28</v>
      </c>
      <c r="C179" s="326" t="s">
        <v>1261</v>
      </c>
      <c r="D179" s="327" t="s">
        <v>1269</v>
      </c>
      <c r="E179" s="327" t="s">
        <v>33</v>
      </c>
      <c r="F179" s="354">
        <v>41235</v>
      </c>
      <c r="G179" s="354">
        <v>41341</v>
      </c>
      <c r="H179" s="354">
        <v>41351</v>
      </c>
      <c r="I179" s="355">
        <v>52282.54</v>
      </c>
      <c r="J179" s="355">
        <f>SUM(I176:I179)</f>
        <v>194304.4</v>
      </c>
      <c r="K179" s="355">
        <v>118900</v>
      </c>
      <c r="L179" s="330">
        <f>J179-K179</f>
        <v>75404.399999999994</v>
      </c>
      <c r="M179" s="356"/>
      <c r="O179" s="305">
        <f t="shared" si="2"/>
        <v>0</v>
      </c>
    </row>
    <row r="180" spans="1:15" s="322" customFormat="1" ht="12.6" thickBot="1">
      <c r="A180" s="353" t="s">
        <v>537</v>
      </c>
      <c r="B180" s="327" t="s">
        <v>30</v>
      </c>
      <c r="C180" s="326" t="s">
        <v>538</v>
      </c>
      <c r="D180" s="327" t="s">
        <v>539</v>
      </c>
      <c r="E180" s="327" t="s">
        <v>33</v>
      </c>
      <c r="F180" s="354">
        <v>41037</v>
      </c>
      <c r="G180" s="354">
        <v>41235</v>
      </c>
      <c r="H180" s="354">
        <v>41240</v>
      </c>
      <c r="I180" s="355">
        <v>142204.17000000001</v>
      </c>
      <c r="J180" s="355">
        <f>+I180</f>
        <v>142204.17000000001</v>
      </c>
      <c r="K180" s="355">
        <v>118900</v>
      </c>
      <c r="L180" s="330">
        <f>J180-K180</f>
        <v>23304.170000000013</v>
      </c>
      <c r="M180" s="356"/>
      <c r="O180" s="305">
        <f t="shared" si="2"/>
        <v>0</v>
      </c>
    </row>
    <row r="181" spans="1:15" s="322" customFormat="1" ht="12.6" thickBot="1">
      <c r="A181" s="353" t="s">
        <v>1207</v>
      </c>
      <c r="B181" s="327" t="s">
        <v>23</v>
      </c>
      <c r="C181" s="326" t="s">
        <v>1210</v>
      </c>
      <c r="D181" s="327" t="s">
        <v>38</v>
      </c>
      <c r="E181" s="327" t="s">
        <v>33</v>
      </c>
      <c r="F181" s="354">
        <v>41262</v>
      </c>
      <c r="G181" s="354">
        <v>40932</v>
      </c>
      <c r="H181" s="354">
        <v>41312</v>
      </c>
      <c r="I181" s="355">
        <v>66165.78</v>
      </c>
      <c r="J181" s="355"/>
      <c r="K181" s="355"/>
      <c r="L181" s="330"/>
      <c r="M181" s="356"/>
      <c r="O181" s="305">
        <f t="shared" si="2"/>
        <v>0</v>
      </c>
    </row>
    <row r="182" spans="1:15" s="322" customFormat="1" ht="12.6" thickBot="1">
      <c r="A182" s="353" t="s">
        <v>1208</v>
      </c>
      <c r="B182" s="327" t="s">
        <v>28</v>
      </c>
      <c r="C182" s="326" t="s">
        <v>1210</v>
      </c>
      <c r="D182" s="327" t="s">
        <v>38</v>
      </c>
      <c r="E182" s="327" t="s">
        <v>33</v>
      </c>
      <c r="F182" s="354">
        <v>41262</v>
      </c>
      <c r="G182" s="354">
        <v>40932</v>
      </c>
      <c r="H182" s="354">
        <v>41312</v>
      </c>
      <c r="I182" s="355">
        <v>343295.52</v>
      </c>
      <c r="J182" s="355"/>
      <c r="K182" s="355"/>
      <c r="L182" s="330"/>
      <c r="M182" s="356"/>
      <c r="O182" s="305">
        <f t="shared" si="2"/>
        <v>0</v>
      </c>
    </row>
    <row r="183" spans="1:15" s="322" customFormat="1" ht="12.6" thickBot="1">
      <c r="A183" s="353" t="s">
        <v>1209</v>
      </c>
      <c r="B183" s="327" t="s">
        <v>250</v>
      </c>
      <c r="C183" s="326" t="s">
        <v>1210</v>
      </c>
      <c r="D183" s="327" t="s">
        <v>38</v>
      </c>
      <c r="E183" s="327" t="s">
        <v>33</v>
      </c>
      <c r="F183" s="354">
        <v>41262</v>
      </c>
      <c r="G183" s="354">
        <v>40932</v>
      </c>
      <c r="H183" s="354">
        <v>41312</v>
      </c>
      <c r="I183" s="355">
        <v>5000</v>
      </c>
      <c r="J183" s="355">
        <f>SUM(I181:I183)</f>
        <v>414461.30000000005</v>
      </c>
      <c r="K183" s="355">
        <v>118900</v>
      </c>
      <c r="L183" s="330">
        <f>J183-K183</f>
        <v>295561.30000000005</v>
      </c>
      <c r="M183" s="356"/>
      <c r="O183" s="305">
        <f t="shared" si="2"/>
        <v>0</v>
      </c>
    </row>
    <row r="184" spans="1:15" s="322" customFormat="1" ht="12.6" thickBot="1">
      <c r="A184" s="353" t="s">
        <v>540</v>
      </c>
      <c r="B184" s="327" t="s">
        <v>245</v>
      </c>
      <c r="C184" s="326" t="s">
        <v>541</v>
      </c>
      <c r="D184" s="327" t="s">
        <v>38</v>
      </c>
      <c r="E184" s="327" t="s">
        <v>33</v>
      </c>
      <c r="F184" s="354">
        <v>41148</v>
      </c>
      <c r="G184" s="354">
        <v>41211</v>
      </c>
      <c r="H184" s="354">
        <v>41228</v>
      </c>
      <c r="I184" s="355">
        <v>403000</v>
      </c>
      <c r="J184" s="355">
        <f>I184</f>
        <v>403000</v>
      </c>
      <c r="K184" s="355">
        <v>118900</v>
      </c>
      <c r="L184" s="330">
        <f>J184-K184</f>
        <v>284100</v>
      </c>
      <c r="M184" s="356"/>
      <c r="O184" s="305">
        <f t="shared" si="2"/>
        <v>0</v>
      </c>
    </row>
    <row r="185" spans="1:15" s="322" customFormat="1" ht="12.6" thickBot="1">
      <c r="A185" s="353" t="s">
        <v>542</v>
      </c>
      <c r="B185" s="327" t="s">
        <v>30</v>
      </c>
      <c r="C185" s="326" t="s">
        <v>543</v>
      </c>
      <c r="D185" s="327" t="s">
        <v>222</v>
      </c>
      <c r="E185" s="327" t="s">
        <v>33</v>
      </c>
      <c r="F185" s="354">
        <v>40974</v>
      </c>
      <c r="G185" s="354">
        <v>41001</v>
      </c>
      <c r="H185" s="354">
        <v>41024</v>
      </c>
      <c r="I185" s="355">
        <v>103000</v>
      </c>
      <c r="J185" s="355"/>
      <c r="K185" s="355"/>
      <c r="L185" s="330"/>
      <c r="M185" s="356"/>
      <c r="O185" s="305">
        <f t="shared" si="2"/>
        <v>0</v>
      </c>
    </row>
    <row r="186" spans="1:15" s="322" customFormat="1" ht="12.6" thickBot="1">
      <c r="A186" s="353" t="s">
        <v>544</v>
      </c>
      <c r="B186" s="327" t="s">
        <v>349</v>
      </c>
      <c r="C186" s="326" t="s">
        <v>543</v>
      </c>
      <c r="D186" s="327" t="s">
        <v>222</v>
      </c>
      <c r="E186" s="327" t="s">
        <v>33</v>
      </c>
      <c r="F186" s="354">
        <v>40974</v>
      </c>
      <c r="G186" s="354">
        <v>41001</v>
      </c>
      <c r="H186" s="354">
        <v>41037</v>
      </c>
      <c r="I186" s="355">
        <v>1711687.64</v>
      </c>
      <c r="J186" s="355">
        <f>SUM(+I185+I186)</f>
        <v>1814687.64</v>
      </c>
      <c r="K186" s="355">
        <v>118900</v>
      </c>
      <c r="L186" s="330">
        <f>J186-K186</f>
        <v>1695787.64</v>
      </c>
      <c r="M186" s="356"/>
      <c r="O186" s="305">
        <f t="shared" si="2"/>
        <v>1092983.6399999999</v>
      </c>
    </row>
    <row r="187" spans="1:15" s="322" customFormat="1" ht="12.6" thickBot="1">
      <c r="A187" s="353" t="s">
        <v>545</v>
      </c>
      <c r="B187" s="327" t="s">
        <v>93</v>
      </c>
      <c r="C187" s="326" t="s">
        <v>546</v>
      </c>
      <c r="D187" s="327" t="s">
        <v>84</v>
      </c>
      <c r="E187" s="327" t="s">
        <v>33</v>
      </c>
      <c r="F187" s="354">
        <v>40967</v>
      </c>
      <c r="G187" s="354">
        <v>41248</v>
      </c>
      <c r="H187" s="354">
        <v>41250</v>
      </c>
      <c r="I187" s="355">
        <v>127736</v>
      </c>
      <c r="J187" s="355">
        <f>+I187</f>
        <v>127736</v>
      </c>
      <c r="K187" s="355">
        <v>118900</v>
      </c>
      <c r="L187" s="330">
        <f>J187-K187</f>
        <v>8836</v>
      </c>
      <c r="M187" s="356"/>
      <c r="O187" s="305">
        <f t="shared" si="2"/>
        <v>0</v>
      </c>
    </row>
    <row r="188" spans="1:15" s="322" customFormat="1" ht="12.6" thickBot="1">
      <c r="A188" s="353" t="s">
        <v>547</v>
      </c>
      <c r="B188" s="327" t="s">
        <v>30</v>
      </c>
      <c r="C188" s="326" t="s">
        <v>548</v>
      </c>
      <c r="D188" s="327" t="s">
        <v>549</v>
      </c>
      <c r="E188" s="327" t="s">
        <v>33</v>
      </c>
      <c r="F188" s="354">
        <v>41215</v>
      </c>
      <c r="G188" s="354">
        <v>41246</v>
      </c>
      <c r="H188" s="354">
        <v>41254</v>
      </c>
      <c r="I188" s="355">
        <v>3992.3</v>
      </c>
      <c r="J188" s="355"/>
      <c r="K188" s="355"/>
      <c r="L188" s="330"/>
      <c r="M188" s="356"/>
      <c r="O188" s="305">
        <f t="shared" si="2"/>
        <v>0</v>
      </c>
    </row>
    <row r="189" spans="1:15" s="322" customFormat="1" ht="12.6" thickBot="1">
      <c r="A189" s="353" t="s">
        <v>550</v>
      </c>
      <c r="B189" s="327" t="s">
        <v>349</v>
      </c>
      <c r="C189" s="326" t="s">
        <v>548</v>
      </c>
      <c r="D189" s="327" t="s">
        <v>549</v>
      </c>
      <c r="E189" s="327" t="s">
        <v>33</v>
      </c>
      <c r="F189" s="354">
        <v>41215</v>
      </c>
      <c r="G189" s="354">
        <v>41246</v>
      </c>
      <c r="H189" s="354">
        <v>41254</v>
      </c>
      <c r="I189" s="355">
        <v>400000</v>
      </c>
      <c r="J189" s="355">
        <f>SUM(I188:I189)</f>
        <v>403992.3</v>
      </c>
      <c r="K189" s="355">
        <v>118900</v>
      </c>
      <c r="L189" s="330">
        <f>J189-K189</f>
        <v>285092.3</v>
      </c>
      <c r="M189" s="356"/>
      <c r="O189" s="305">
        <f t="shared" si="2"/>
        <v>0</v>
      </c>
    </row>
    <row r="190" spans="1:15" s="322" customFormat="1" ht="12.6" thickBot="1">
      <c r="A190" s="353" t="s">
        <v>551</v>
      </c>
      <c r="B190" s="327" t="s">
        <v>30</v>
      </c>
      <c r="C190" s="326" t="s">
        <v>552</v>
      </c>
      <c r="D190" s="327" t="s">
        <v>553</v>
      </c>
      <c r="E190" s="327" t="s">
        <v>33</v>
      </c>
      <c r="F190" s="354">
        <v>41264</v>
      </c>
      <c r="G190" s="354">
        <v>41285</v>
      </c>
      <c r="H190" s="354">
        <v>41292</v>
      </c>
      <c r="I190" s="355">
        <v>78000</v>
      </c>
      <c r="J190" s="355"/>
      <c r="K190" s="355"/>
      <c r="L190" s="330"/>
      <c r="M190" s="356"/>
      <c r="O190" s="305">
        <f t="shared" si="2"/>
        <v>0</v>
      </c>
    </row>
    <row r="191" spans="1:15" s="322" customFormat="1" ht="12.6" thickBot="1">
      <c r="A191" s="353" t="s">
        <v>554</v>
      </c>
      <c r="B191" s="327" t="s">
        <v>349</v>
      </c>
      <c r="C191" s="326" t="s">
        <v>552</v>
      </c>
      <c r="D191" s="327" t="s">
        <v>553</v>
      </c>
      <c r="E191" s="327" t="s">
        <v>33</v>
      </c>
      <c r="F191" s="354">
        <v>41264</v>
      </c>
      <c r="G191" s="354">
        <v>41285</v>
      </c>
      <c r="H191" s="354">
        <v>41292</v>
      </c>
      <c r="I191" s="355">
        <v>100000</v>
      </c>
      <c r="J191" s="355">
        <f>SUM(I190:I191)</f>
        <v>178000</v>
      </c>
      <c r="K191" s="355">
        <v>118900</v>
      </c>
      <c r="L191" s="330">
        <f>+J191-K191</f>
        <v>59100</v>
      </c>
      <c r="M191" s="356"/>
      <c r="O191" s="305">
        <f t="shared" si="2"/>
        <v>0</v>
      </c>
    </row>
    <row r="192" spans="1:15" s="322" customFormat="1" ht="12.6" thickBot="1">
      <c r="A192" s="353" t="s">
        <v>555</v>
      </c>
      <c r="B192" s="327" t="s">
        <v>30</v>
      </c>
      <c r="C192" s="326" t="s">
        <v>556</v>
      </c>
      <c r="D192" s="327" t="s">
        <v>209</v>
      </c>
      <c r="E192" s="327" t="s">
        <v>33</v>
      </c>
      <c r="F192" s="354">
        <v>41134</v>
      </c>
      <c r="G192" s="354">
        <v>41172</v>
      </c>
      <c r="H192" s="354">
        <v>41186</v>
      </c>
      <c r="I192" s="355">
        <v>19915.560000000001</v>
      </c>
      <c r="J192" s="355"/>
      <c r="K192" s="355"/>
      <c r="L192" s="330"/>
      <c r="M192" s="356"/>
      <c r="O192" s="305">
        <f t="shared" si="2"/>
        <v>0</v>
      </c>
    </row>
    <row r="193" spans="1:15" s="322" customFormat="1" ht="12.6" thickBot="1">
      <c r="A193" s="353" t="s">
        <v>557</v>
      </c>
      <c r="B193" s="327" t="s">
        <v>349</v>
      </c>
      <c r="C193" s="326" t="s">
        <v>556</v>
      </c>
      <c r="D193" s="327" t="s">
        <v>209</v>
      </c>
      <c r="E193" s="327" t="s">
        <v>33</v>
      </c>
      <c r="F193" s="354">
        <v>41134</v>
      </c>
      <c r="G193" s="354">
        <v>41172</v>
      </c>
      <c r="H193" s="354">
        <v>41186</v>
      </c>
      <c r="I193" s="355">
        <v>120038.38</v>
      </c>
      <c r="J193" s="355">
        <f>+I193+I192</f>
        <v>139953.94</v>
      </c>
      <c r="K193" s="355">
        <v>118900</v>
      </c>
      <c r="L193" s="330">
        <f>J193-K193</f>
        <v>21053.940000000002</v>
      </c>
      <c r="M193" s="356"/>
      <c r="O193" s="305">
        <f t="shared" si="2"/>
        <v>0</v>
      </c>
    </row>
    <row r="194" spans="1:15" s="322" customFormat="1" ht="12.6" thickBot="1">
      <c r="A194" s="353" t="s">
        <v>1243</v>
      </c>
      <c r="B194" s="327" t="s">
        <v>23</v>
      </c>
      <c r="C194" s="326" t="s">
        <v>1251</v>
      </c>
      <c r="D194" s="327" t="s">
        <v>1255</v>
      </c>
      <c r="E194" s="327" t="s">
        <v>33</v>
      </c>
      <c r="F194" s="354">
        <v>41262</v>
      </c>
      <c r="G194" s="354">
        <v>41306</v>
      </c>
      <c r="H194" s="354">
        <v>41312</v>
      </c>
      <c r="I194" s="355">
        <v>63917.96</v>
      </c>
      <c r="J194" s="355"/>
      <c r="K194" s="355"/>
      <c r="L194" s="330"/>
      <c r="M194" s="356"/>
      <c r="O194" s="305">
        <f t="shared" si="2"/>
        <v>0</v>
      </c>
    </row>
    <row r="195" spans="1:15" s="322" customFormat="1" ht="12.6" thickBot="1">
      <c r="A195" s="353" t="s">
        <v>1244</v>
      </c>
      <c r="B195" s="327" t="s">
        <v>28</v>
      </c>
      <c r="C195" s="326" t="s">
        <v>1251</v>
      </c>
      <c r="D195" s="327" t="s">
        <v>1255</v>
      </c>
      <c r="E195" s="327" t="s">
        <v>33</v>
      </c>
      <c r="F195" s="354">
        <v>41262</v>
      </c>
      <c r="G195" s="354">
        <v>41306</v>
      </c>
      <c r="H195" s="354">
        <v>41323</v>
      </c>
      <c r="I195" s="355">
        <v>120000</v>
      </c>
      <c r="J195" s="355">
        <f>+I195+I194</f>
        <v>183917.96</v>
      </c>
      <c r="K195" s="355">
        <v>118900</v>
      </c>
      <c r="L195" s="330">
        <f>J195-K195</f>
        <v>65017.959999999992</v>
      </c>
      <c r="M195" s="356"/>
      <c r="O195" s="305">
        <f t="shared" si="2"/>
        <v>0</v>
      </c>
    </row>
    <row r="196" spans="1:15" s="322" customFormat="1" ht="12.6" thickBot="1">
      <c r="A196" s="353" t="s">
        <v>1313</v>
      </c>
      <c r="B196" s="327" t="s">
        <v>28</v>
      </c>
      <c r="C196" s="326" t="s">
        <v>1314</v>
      </c>
      <c r="D196" s="327" t="s">
        <v>54</v>
      </c>
      <c r="E196" s="327" t="s">
        <v>33</v>
      </c>
      <c r="F196" s="354">
        <v>41232</v>
      </c>
      <c r="G196" s="354">
        <v>41556</v>
      </c>
      <c r="H196" s="354">
        <v>41561</v>
      </c>
      <c r="I196" s="355">
        <v>109448.72</v>
      </c>
      <c r="J196" s="355"/>
      <c r="K196" s="355"/>
      <c r="L196" s="330"/>
      <c r="M196" s="356"/>
      <c r="O196" s="305">
        <f t="shared" si="2"/>
        <v>0</v>
      </c>
    </row>
    <row r="197" spans="1:15" s="322" customFormat="1" ht="12.6" thickBot="1">
      <c r="A197" s="353" t="s">
        <v>1318</v>
      </c>
      <c r="B197" s="327" t="s">
        <v>23</v>
      </c>
      <c r="C197" s="326" t="s">
        <v>1314</v>
      </c>
      <c r="D197" s="327" t="s">
        <v>54</v>
      </c>
      <c r="E197" s="327" t="s">
        <v>33</v>
      </c>
      <c r="F197" s="354">
        <v>41232</v>
      </c>
      <c r="G197" s="354">
        <v>41556</v>
      </c>
      <c r="H197" s="354"/>
      <c r="I197" s="355">
        <v>42985.02</v>
      </c>
      <c r="J197" s="355">
        <f>+I197+I196</f>
        <v>152433.74</v>
      </c>
      <c r="K197" s="355">
        <v>118900</v>
      </c>
      <c r="L197" s="330">
        <f>J197-K197</f>
        <v>33533.739999999991</v>
      </c>
      <c r="M197" s="356"/>
      <c r="O197" s="305">
        <f t="shared" si="2"/>
        <v>0</v>
      </c>
    </row>
    <row r="198" spans="1:15" s="322" customFormat="1" ht="12.6" thickBot="1">
      <c r="A198" s="353" t="s">
        <v>558</v>
      </c>
      <c r="B198" s="327" t="s">
        <v>30</v>
      </c>
      <c r="C198" s="326" t="s">
        <v>559</v>
      </c>
      <c r="D198" s="327" t="s">
        <v>560</v>
      </c>
      <c r="E198" s="327" t="s">
        <v>33</v>
      </c>
      <c r="F198" s="354">
        <v>40920</v>
      </c>
      <c r="G198" s="354">
        <v>40932</v>
      </c>
      <c r="H198" s="354">
        <v>40966</v>
      </c>
      <c r="I198" s="355">
        <v>53000</v>
      </c>
      <c r="J198" s="355"/>
      <c r="K198" s="355"/>
      <c r="L198" s="330"/>
      <c r="M198" s="356"/>
      <c r="O198" s="305">
        <f t="shared" si="2"/>
        <v>0</v>
      </c>
    </row>
    <row r="199" spans="1:15" s="322" customFormat="1" ht="12.6" thickBot="1">
      <c r="A199" s="353" t="s">
        <v>561</v>
      </c>
      <c r="B199" s="327" t="s">
        <v>349</v>
      </c>
      <c r="C199" s="326" t="s">
        <v>559</v>
      </c>
      <c r="D199" s="327" t="s">
        <v>560</v>
      </c>
      <c r="E199" s="327" t="s">
        <v>33</v>
      </c>
      <c r="F199" s="354">
        <v>40920</v>
      </c>
      <c r="G199" s="354">
        <v>40932</v>
      </c>
      <c r="H199" s="354">
        <v>40966</v>
      </c>
      <c r="I199" s="355">
        <v>157926.1</v>
      </c>
      <c r="J199" s="355">
        <f>I198+I199</f>
        <v>210926.1</v>
      </c>
      <c r="K199" s="355">
        <v>118900</v>
      </c>
      <c r="L199" s="330">
        <f>J199-K199</f>
        <v>92026.1</v>
      </c>
      <c r="M199" s="356"/>
      <c r="O199" s="305">
        <f t="shared" si="2"/>
        <v>0</v>
      </c>
    </row>
    <row r="200" spans="1:15" s="322" customFormat="1" ht="12.6" thickBot="1">
      <c r="A200" s="353" t="s">
        <v>562</v>
      </c>
      <c r="B200" s="327" t="s">
        <v>30</v>
      </c>
      <c r="C200" s="326" t="s">
        <v>563</v>
      </c>
      <c r="D200" s="327" t="s">
        <v>506</v>
      </c>
      <c r="E200" s="327" t="s">
        <v>33</v>
      </c>
      <c r="F200" s="354">
        <v>41136</v>
      </c>
      <c r="G200" s="354">
        <v>41177</v>
      </c>
      <c r="H200" s="354">
        <v>41180</v>
      </c>
      <c r="I200" s="355">
        <v>143189.17000000001</v>
      </c>
      <c r="J200" s="355"/>
      <c r="K200" s="355"/>
      <c r="L200" s="330"/>
      <c r="M200" s="356"/>
      <c r="O200" s="305">
        <f t="shared" si="2"/>
        <v>0</v>
      </c>
    </row>
    <row r="201" spans="1:15" s="322" customFormat="1" ht="12.6" thickBot="1">
      <c r="A201" s="353" t="s">
        <v>562</v>
      </c>
      <c r="B201" s="327" t="s">
        <v>349</v>
      </c>
      <c r="C201" s="326" t="s">
        <v>563</v>
      </c>
      <c r="D201" s="327" t="s">
        <v>506</v>
      </c>
      <c r="E201" s="327" t="s">
        <v>33</v>
      </c>
      <c r="F201" s="354">
        <v>41136</v>
      </c>
      <c r="G201" s="354">
        <v>41177</v>
      </c>
      <c r="H201" s="354">
        <v>41206</v>
      </c>
      <c r="I201" s="355">
        <v>46964.37</v>
      </c>
      <c r="J201" s="355">
        <f>SUM(I200:I201)</f>
        <v>190153.54</v>
      </c>
      <c r="K201" s="355">
        <v>118900</v>
      </c>
      <c r="L201" s="330">
        <f>J201-K201</f>
        <v>71253.540000000008</v>
      </c>
      <c r="M201" s="356"/>
      <c r="O201" s="305">
        <f t="shared" si="2"/>
        <v>0</v>
      </c>
    </row>
    <row r="202" spans="1:15" s="322" customFormat="1" ht="12.6" thickBot="1">
      <c r="A202" s="353" t="s">
        <v>564</v>
      </c>
      <c r="B202" s="327" t="s">
        <v>30</v>
      </c>
      <c r="C202" s="326" t="s">
        <v>565</v>
      </c>
      <c r="D202" s="327" t="s">
        <v>25</v>
      </c>
      <c r="E202" s="327" t="s">
        <v>26</v>
      </c>
      <c r="F202" s="354">
        <v>41119</v>
      </c>
      <c r="G202" s="354">
        <v>41229</v>
      </c>
      <c r="H202" s="354">
        <v>41247</v>
      </c>
      <c r="I202" s="355">
        <v>55000</v>
      </c>
      <c r="J202" s="355"/>
      <c r="K202" s="355"/>
      <c r="L202" s="330"/>
      <c r="M202" s="356"/>
      <c r="O202" s="305">
        <f t="shared" si="2"/>
        <v>0</v>
      </c>
    </row>
    <row r="203" spans="1:15" s="322" customFormat="1" ht="12.6" thickBot="1">
      <c r="A203" s="353" t="s">
        <v>566</v>
      </c>
      <c r="B203" s="327" t="s">
        <v>349</v>
      </c>
      <c r="C203" s="326" t="s">
        <v>565</v>
      </c>
      <c r="D203" s="327" t="s">
        <v>25</v>
      </c>
      <c r="E203" s="327" t="s">
        <v>26</v>
      </c>
      <c r="F203" s="354">
        <v>41119</v>
      </c>
      <c r="G203" s="354">
        <v>41229</v>
      </c>
      <c r="H203" s="354">
        <v>41247</v>
      </c>
      <c r="I203" s="355">
        <v>260000</v>
      </c>
      <c r="J203" s="355">
        <f>SUM(I202:I203)</f>
        <v>315000</v>
      </c>
      <c r="K203" s="355">
        <v>118900</v>
      </c>
      <c r="L203" s="330">
        <f>J203-K203</f>
        <v>196100</v>
      </c>
      <c r="M203" s="356"/>
      <c r="O203" s="305">
        <f t="shared" si="2"/>
        <v>0</v>
      </c>
    </row>
    <row r="204" spans="1:15" s="322" customFormat="1" ht="12.6" thickBot="1">
      <c r="A204" s="353" t="s">
        <v>567</v>
      </c>
      <c r="B204" s="327" t="s">
        <v>30</v>
      </c>
      <c r="C204" s="326" t="s">
        <v>568</v>
      </c>
      <c r="D204" s="327" t="s">
        <v>32</v>
      </c>
      <c r="E204" s="327" t="s">
        <v>33</v>
      </c>
      <c r="F204" s="354">
        <v>41060</v>
      </c>
      <c r="G204" s="354">
        <v>41087</v>
      </c>
      <c r="H204" s="354">
        <v>41088</v>
      </c>
      <c r="I204" s="355">
        <v>32528.240000000002</v>
      </c>
      <c r="J204" s="355"/>
      <c r="K204" s="355"/>
      <c r="L204" s="330"/>
      <c r="M204" s="356"/>
      <c r="O204" s="305">
        <f t="shared" ref="O204:O246" si="3">IF($J204&gt;P$8,$J204-P$8,0)</f>
        <v>0</v>
      </c>
    </row>
    <row r="205" spans="1:15" s="322" customFormat="1" ht="12.6" thickBot="1">
      <c r="A205" s="353" t="s">
        <v>569</v>
      </c>
      <c r="B205" s="327" t="s">
        <v>349</v>
      </c>
      <c r="C205" s="326" t="s">
        <v>568</v>
      </c>
      <c r="D205" s="327" t="s">
        <v>32</v>
      </c>
      <c r="E205" s="327" t="s">
        <v>33</v>
      </c>
      <c r="F205" s="354">
        <v>41060</v>
      </c>
      <c r="G205" s="354">
        <v>41087</v>
      </c>
      <c r="H205" s="354">
        <v>41088</v>
      </c>
      <c r="I205" s="355">
        <v>92562</v>
      </c>
      <c r="J205" s="355">
        <f>+I204+I205</f>
        <v>125090.24000000001</v>
      </c>
      <c r="K205" s="355">
        <v>118900</v>
      </c>
      <c r="L205" s="330">
        <f>J205-K205</f>
        <v>6190.2400000000052</v>
      </c>
      <c r="M205" s="356"/>
      <c r="O205" s="305">
        <f t="shared" si="3"/>
        <v>0</v>
      </c>
    </row>
    <row r="206" spans="1:15" s="322" customFormat="1" ht="12.6" thickBot="1">
      <c r="A206" s="353" t="s">
        <v>1245</v>
      </c>
      <c r="B206" s="327" t="s">
        <v>23</v>
      </c>
      <c r="C206" s="326" t="s">
        <v>1252</v>
      </c>
      <c r="D206" s="327" t="s">
        <v>192</v>
      </c>
      <c r="E206" s="327" t="s">
        <v>33</v>
      </c>
      <c r="F206" s="354">
        <v>41255</v>
      </c>
      <c r="G206" s="354">
        <v>41318</v>
      </c>
      <c r="H206" s="354">
        <v>41323</v>
      </c>
      <c r="I206" s="355">
        <v>303000</v>
      </c>
      <c r="J206" s="355"/>
      <c r="K206" s="355"/>
      <c r="L206" s="330"/>
      <c r="M206" s="356"/>
      <c r="O206" s="305">
        <f t="shared" si="3"/>
        <v>0</v>
      </c>
    </row>
    <row r="207" spans="1:15" s="322" customFormat="1" ht="12.6" thickBot="1">
      <c r="A207" s="353" t="s">
        <v>1246</v>
      </c>
      <c r="B207" s="327" t="s">
        <v>250</v>
      </c>
      <c r="C207" s="326" t="s">
        <v>1252</v>
      </c>
      <c r="D207" s="327" t="s">
        <v>192</v>
      </c>
      <c r="E207" s="327" t="s">
        <v>33</v>
      </c>
      <c r="F207" s="354">
        <v>41255</v>
      </c>
      <c r="G207" s="354">
        <v>41318</v>
      </c>
      <c r="H207" s="354">
        <v>41330</v>
      </c>
      <c r="I207" s="355">
        <v>15000</v>
      </c>
      <c r="J207" s="355">
        <f>+I206+I207</f>
        <v>318000</v>
      </c>
      <c r="K207" s="355">
        <v>118900</v>
      </c>
      <c r="L207" s="330">
        <f>J207-K207</f>
        <v>199100</v>
      </c>
      <c r="M207" s="356"/>
      <c r="O207" s="305">
        <f t="shared" si="3"/>
        <v>0</v>
      </c>
    </row>
    <row r="208" spans="1:15" s="322" customFormat="1" ht="12.6" thickBot="1">
      <c r="A208" s="353" t="s">
        <v>1267</v>
      </c>
      <c r="B208" s="327" t="s">
        <v>28</v>
      </c>
      <c r="C208" s="326" t="s">
        <v>1268</v>
      </c>
      <c r="D208" s="327" t="s">
        <v>1270</v>
      </c>
      <c r="E208" s="327" t="s">
        <v>33</v>
      </c>
      <c r="F208" s="354">
        <v>41271</v>
      </c>
      <c r="G208" s="354">
        <v>41318</v>
      </c>
      <c r="H208" s="354">
        <v>77078.7</v>
      </c>
      <c r="I208" s="355">
        <v>77275.679999999993</v>
      </c>
      <c r="J208" s="355"/>
      <c r="K208" s="355"/>
      <c r="L208" s="330"/>
      <c r="M208" s="356"/>
      <c r="O208" s="305">
        <f t="shared" si="3"/>
        <v>0</v>
      </c>
    </row>
    <row r="209" spans="1:15" s="322" customFormat="1" ht="12.6" thickBot="1">
      <c r="A209" s="353" t="s">
        <v>1259</v>
      </c>
      <c r="B209" s="327" t="s">
        <v>23</v>
      </c>
      <c r="C209" s="326" t="s">
        <v>1268</v>
      </c>
      <c r="D209" s="327" t="s">
        <v>530</v>
      </c>
      <c r="E209" s="327" t="s">
        <v>33</v>
      </c>
      <c r="F209" s="354">
        <v>41271</v>
      </c>
      <c r="G209" s="354">
        <v>41326</v>
      </c>
      <c r="H209" s="354">
        <v>41345</v>
      </c>
      <c r="I209" s="355">
        <v>91</v>
      </c>
      <c r="J209" s="355"/>
      <c r="K209" s="355"/>
      <c r="L209" s="330"/>
      <c r="M209" s="356"/>
      <c r="O209" s="305">
        <f t="shared" si="3"/>
        <v>0</v>
      </c>
    </row>
    <row r="210" spans="1:15" s="322" customFormat="1" ht="12.6" thickBot="1">
      <c r="A210" s="353" t="s">
        <v>1259</v>
      </c>
      <c r="B210" s="327" t="s">
        <v>23</v>
      </c>
      <c r="C210" s="326" t="s">
        <v>1262</v>
      </c>
      <c r="D210" s="327" t="s">
        <v>530</v>
      </c>
      <c r="E210" s="327" t="s">
        <v>33</v>
      </c>
      <c r="F210" s="354">
        <v>41271</v>
      </c>
      <c r="G210" s="354">
        <v>41326</v>
      </c>
      <c r="H210" s="354">
        <v>41345</v>
      </c>
      <c r="I210" s="355">
        <v>31323.96</v>
      </c>
      <c r="J210" s="355"/>
      <c r="K210" s="355"/>
      <c r="L210" s="330"/>
      <c r="M210" s="356"/>
      <c r="O210" s="305">
        <f t="shared" si="3"/>
        <v>0</v>
      </c>
    </row>
    <row r="211" spans="1:15" s="322" customFormat="1" ht="12.6" thickBot="1">
      <c r="A211" s="353" t="s">
        <v>1260</v>
      </c>
      <c r="B211" s="327" t="s">
        <v>28</v>
      </c>
      <c r="C211" s="326" t="s">
        <v>1262</v>
      </c>
      <c r="D211" s="327" t="s">
        <v>530</v>
      </c>
      <c r="E211" s="327" t="s">
        <v>33</v>
      </c>
      <c r="F211" s="354">
        <v>41271</v>
      </c>
      <c r="G211" s="354">
        <v>41326</v>
      </c>
      <c r="H211" s="354">
        <v>41345</v>
      </c>
      <c r="I211" s="355">
        <v>136083.89000000001</v>
      </c>
      <c r="J211" s="355">
        <f>SUM(I208:I211)</f>
        <v>244774.53</v>
      </c>
      <c r="K211" s="355">
        <v>118900</v>
      </c>
      <c r="L211" s="330">
        <f>+J211-K211</f>
        <v>125874.53</v>
      </c>
      <c r="M211" s="356"/>
      <c r="O211" s="305">
        <f t="shared" si="3"/>
        <v>0</v>
      </c>
    </row>
    <row r="212" spans="1:15" s="322" customFormat="1" ht="12.6" thickBot="1">
      <c r="A212" s="353" t="s">
        <v>1286</v>
      </c>
      <c r="B212" s="327" t="s">
        <v>30</v>
      </c>
      <c r="C212" s="326" t="s">
        <v>1290</v>
      </c>
      <c r="D212" s="327" t="s">
        <v>43</v>
      </c>
      <c r="E212" s="327" t="s">
        <v>33</v>
      </c>
      <c r="F212" s="354">
        <v>40972</v>
      </c>
      <c r="G212" s="354">
        <v>41422</v>
      </c>
      <c r="H212" s="354">
        <v>41424</v>
      </c>
      <c r="I212" s="355">
        <v>11280.47</v>
      </c>
      <c r="J212" s="355"/>
      <c r="K212" s="355"/>
      <c r="L212" s="330"/>
      <c r="M212" s="356"/>
      <c r="O212" s="305">
        <f t="shared" si="3"/>
        <v>0</v>
      </c>
    </row>
    <row r="213" spans="1:15" s="322" customFormat="1" ht="12.6" thickBot="1">
      <c r="A213" s="353" t="s">
        <v>1287</v>
      </c>
      <c r="B213" s="327" t="s">
        <v>28</v>
      </c>
      <c r="C213" s="326" t="s">
        <v>1290</v>
      </c>
      <c r="D213" s="327" t="s">
        <v>43</v>
      </c>
      <c r="E213" s="327" t="s">
        <v>33</v>
      </c>
      <c r="F213" s="354">
        <v>40972</v>
      </c>
      <c r="G213" s="354">
        <v>41423</v>
      </c>
      <c r="H213" s="354">
        <v>41424</v>
      </c>
      <c r="I213" s="355">
        <v>157280.91</v>
      </c>
      <c r="J213" s="355">
        <f>+I212+I213</f>
        <v>168561.38</v>
      </c>
      <c r="K213" s="355">
        <v>118900</v>
      </c>
      <c r="L213" s="330">
        <f>J213-K213</f>
        <v>49661.380000000005</v>
      </c>
      <c r="M213" s="356"/>
      <c r="O213" s="305">
        <f t="shared" si="3"/>
        <v>0</v>
      </c>
    </row>
    <row r="214" spans="1:15" s="322" customFormat="1" ht="12.6" thickBot="1">
      <c r="A214" s="353" t="s">
        <v>570</v>
      </c>
      <c r="B214" s="327" t="s">
        <v>30</v>
      </c>
      <c r="C214" s="326" t="s">
        <v>571</v>
      </c>
      <c r="D214" s="327" t="s">
        <v>572</v>
      </c>
      <c r="E214" s="327" t="s">
        <v>33</v>
      </c>
      <c r="F214" s="354">
        <v>41083</v>
      </c>
      <c r="G214" s="354">
        <v>41134</v>
      </c>
      <c r="H214" s="354">
        <v>41156</v>
      </c>
      <c r="I214" s="355">
        <v>52923.63</v>
      </c>
      <c r="J214" s="355"/>
      <c r="K214" s="355"/>
      <c r="L214" s="330"/>
      <c r="M214" s="356"/>
      <c r="O214" s="305">
        <f t="shared" si="3"/>
        <v>0</v>
      </c>
    </row>
    <row r="215" spans="1:15" s="322" customFormat="1" ht="12.6" thickBot="1">
      <c r="A215" s="353" t="s">
        <v>573</v>
      </c>
      <c r="B215" s="327" t="s">
        <v>349</v>
      </c>
      <c r="C215" s="326" t="s">
        <v>571</v>
      </c>
      <c r="D215" s="327" t="s">
        <v>572</v>
      </c>
      <c r="E215" s="327" t="s">
        <v>33</v>
      </c>
      <c r="F215" s="354">
        <v>41083</v>
      </c>
      <c r="G215" s="354">
        <v>41134</v>
      </c>
      <c r="H215" s="354">
        <v>41156</v>
      </c>
      <c r="I215" s="355">
        <v>70000</v>
      </c>
      <c r="J215" s="355">
        <f>+I214+I215</f>
        <v>122923.63</v>
      </c>
      <c r="K215" s="355">
        <v>118900</v>
      </c>
      <c r="L215" s="330">
        <f>J215-K215</f>
        <v>4023.6300000000047</v>
      </c>
      <c r="M215" s="356"/>
      <c r="O215" s="305">
        <f t="shared" si="3"/>
        <v>0</v>
      </c>
    </row>
    <row r="216" spans="1:15" s="322" customFormat="1" ht="12.6" thickBot="1">
      <c r="A216" s="353" t="s">
        <v>1220</v>
      </c>
      <c r="B216" s="327" t="s">
        <v>30</v>
      </c>
      <c r="C216" s="326" t="s">
        <v>1229</v>
      </c>
      <c r="D216" s="327" t="s">
        <v>131</v>
      </c>
      <c r="E216" s="327" t="s">
        <v>33</v>
      </c>
      <c r="F216" s="354">
        <v>41254</v>
      </c>
      <c r="G216" s="354">
        <v>41324</v>
      </c>
      <c r="H216" s="354">
        <v>41326</v>
      </c>
      <c r="I216" s="355">
        <v>53000</v>
      </c>
      <c r="J216" s="355"/>
      <c r="K216" s="355"/>
      <c r="L216" s="330"/>
      <c r="M216" s="356"/>
      <c r="O216" s="305">
        <f t="shared" si="3"/>
        <v>0</v>
      </c>
    </row>
    <row r="217" spans="1:15" s="322" customFormat="1" ht="12.6" thickBot="1">
      <c r="A217" s="353" t="s">
        <v>1221</v>
      </c>
      <c r="B217" s="327" t="s">
        <v>28</v>
      </c>
      <c r="C217" s="326" t="s">
        <v>1229</v>
      </c>
      <c r="D217" s="327" t="s">
        <v>131</v>
      </c>
      <c r="E217" s="327" t="s">
        <v>33</v>
      </c>
      <c r="F217" s="354">
        <v>41254</v>
      </c>
      <c r="G217" s="354">
        <v>41324</v>
      </c>
      <c r="H217" s="354">
        <v>41324</v>
      </c>
      <c r="I217" s="355">
        <v>127835.15</v>
      </c>
      <c r="J217" s="355">
        <f>+I216+I217</f>
        <v>180835.15</v>
      </c>
      <c r="K217" s="355">
        <v>118900</v>
      </c>
      <c r="L217" s="330">
        <f>J217-K217</f>
        <v>61935.149999999994</v>
      </c>
      <c r="M217" s="356"/>
      <c r="O217" s="305">
        <f t="shared" si="3"/>
        <v>0</v>
      </c>
    </row>
    <row r="218" spans="1:15" s="322" customFormat="1" ht="12.6" thickBot="1">
      <c r="A218" s="353" t="s">
        <v>574</v>
      </c>
      <c r="B218" s="327" t="s">
        <v>30</v>
      </c>
      <c r="C218" s="326" t="s">
        <v>575</v>
      </c>
      <c r="D218" s="327" t="s">
        <v>576</v>
      </c>
      <c r="E218" s="327" t="s">
        <v>33</v>
      </c>
      <c r="F218" s="354">
        <v>41124</v>
      </c>
      <c r="G218" s="354">
        <v>41283</v>
      </c>
      <c r="H218" s="354">
        <v>41288</v>
      </c>
      <c r="I218" s="355">
        <v>260620.53</v>
      </c>
      <c r="J218" s="355">
        <f>+I218</f>
        <v>260620.53</v>
      </c>
      <c r="K218" s="355">
        <v>118900</v>
      </c>
      <c r="L218" s="330">
        <f>+J218-K218</f>
        <v>141720.53</v>
      </c>
      <c r="M218" s="356"/>
      <c r="O218" s="305">
        <f t="shared" si="3"/>
        <v>0</v>
      </c>
    </row>
    <row r="219" spans="1:15" s="322" customFormat="1" ht="12.6" thickBot="1">
      <c r="A219" s="353" t="s">
        <v>542</v>
      </c>
      <c r="B219" s="327" t="s">
        <v>30</v>
      </c>
      <c r="C219" s="326" t="s">
        <v>577</v>
      </c>
      <c r="D219" s="327" t="s">
        <v>69</v>
      </c>
      <c r="E219" s="327" t="s">
        <v>33</v>
      </c>
      <c r="F219" s="354">
        <v>40993</v>
      </c>
      <c r="G219" s="354">
        <v>41019</v>
      </c>
      <c r="H219" s="354">
        <v>41019</v>
      </c>
      <c r="I219" s="355">
        <v>121096.62</v>
      </c>
      <c r="J219" s="355"/>
      <c r="K219" s="355"/>
      <c r="L219" s="330"/>
      <c r="M219" s="356"/>
      <c r="O219" s="305">
        <f t="shared" si="3"/>
        <v>0</v>
      </c>
    </row>
    <row r="220" spans="1:15" s="322" customFormat="1" ht="12.6" thickBot="1">
      <c r="A220" s="353" t="s">
        <v>578</v>
      </c>
      <c r="B220" s="327" t="s">
        <v>349</v>
      </c>
      <c r="C220" s="326" t="s">
        <v>577</v>
      </c>
      <c r="D220" s="327" t="s">
        <v>69</v>
      </c>
      <c r="E220" s="327" t="s">
        <v>33</v>
      </c>
      <c r="F220" s="354">
        <v>40964</v>
      </c>
      <c r="G220" s="354">
        <v>41019</v>
      </c>
      <c r="H220" s="354">
        <v>41019</v>
      </c>
      <c r="I220" s="355">
        <v>49949.91</v>
      </c>
      <c r="J220" s="355">
        <f>I219+I220</f>
        <v>171046.53</v>
      </c>
      <c r="K220" s="355">
        <v>118900</v>
      </c>
      <c r="L220" s="330">
        <f>J220-K220</f>
        <v>52146.53</v>
      </c>
      <c r="M220" s="356"/>
      <c r="O220" s="305">
        <f t="shared" si="3"/>
        <v>0</v>
      </c>
    </row>
    <row r="221" spans="1:15" s="322" customFormat="1" ht="12.6" thickBot="1">
      <c r="A221" s="353" t="s">
        <v>579</v>
      </c>
      <c r="B221" s="327" t="s">
        <v>30</v>
      </c>
      <c r="C221" s="326" t="s">
        <v>580</v>
      </c>
      <c r="D221" s="327" t="s">
        <v>581</v>
      </c>
      <c r="E221" s="327" t="s">
        <v>33</v>
      </c>
      <c r="F221" s="354">
        <v>41003</v>
      </c>
      <c r="G221" s="354">
        <v>41178</v>
      </c>
      <c r="H221" s="354">
        <v>41179</v>
      </c>
      <c r="I221" s="355">
        <v>60466.67</v>
      </c>
      <c r="J221" s="355"/>
      <c r="K221" s="355"/>
      <c r="L221" s="330"/>
      <c r="M221" s="356"/>
      <c r="O221" s="305">
        <f t="shared" si="3"/>
        <v>0</v>
      </c>
    </row>
    <row r="222" spans="1:15" s="322" customFormat="1" ht="12.6" thickBot="1">
      <c r="A222" s="353" t="s">
        <v>582</v>
      </c>
      <c r="B222" s="327" t="s">
        <v>30</v>
      </c>
      <c r="C222" s="326" t="s">
        <v>580</v>
      </c>
      <c r="D222" s="327" t="s">
        <v>581</v>
      </c>
      <c r="E222" s="327" t="s">
        <v>33</v>
      </c>
      <c r="F222" s="354">
        <v>41003</v>
      </c>
      <c r="G222" s="354">
        <v>41178</v>
      </c>
      <c r="H222" s="354">
        <v>41254</v>
      </c>
      <c r="I222" s="355">
        <v>92360.54</v>
      </c>
      <c r="J222" s="355">
        <f>SUM(I221:I222)</f>
        <v>152827.21</v>
      </c>
      <c r="K222" s="355">
        <v>118900</v>
      </c>
      <c r="L222" s="330">
        <f>J222-K222</f>
        <v>33927.209999999992</v>
      </c>
      <c r="M222" s="356"/>
      <c r="O222" s="305">
        <f t="shared" si="3"/>
        <v>0</v>
      </c>
    </row>
    <row r="223" spans="1:15" s="322" customFormat="1" ht="12.6" thickBot="1">
      <c r="A223" s="353" t="s">
        <v>583</v>
      </c>
      <c r="B223" s="327" t="s">
        <v>30</v>
      </c>
      <c r="C223" s="326" t="s">
        <v>584</v>
      </c>
      <c r="D223" s="327" t="s">
        <v>239</v>
      </c>
      <c r="E223" s="327" t="s">
        <v>33</v>
      </c>
      <c r="F223" s="354">
        <v>40969</v>
      </c>
      <c r="G223" s="354">
        <v>41072</v>
      </c>
      <c r="H223" s="354">
        <v>41150</v>
      </c>
      <c r="I223" s="355">
        <v>53000</v>
      </c>
      <c r="J223" s="355"/>
      <c r="K223" s="355"/>
      <c r="L223" s="330"/>
      <c r="M223" s="356"/>
      <c r="O223" s="305">
        <f t="shared" si="3"/>
        <v>0</v>
      </c>
    </row>
    <row r="224" spans="1:15" s="322" customFormat="1" ht="12.6" thickBot="1">
      <c r="A224" s="353" t="s">
        <v>585</v>
      </c>
      <c r="B224" s="327" t="s">
        <v>349</v>
      </c>
      <c r="C224" s="326" t="s">
        <v>584</v>
      </c>
      <c r="D224" s="327" t="s">
        <v>239</v>
      </c>
      <c r="E224" s="327" t="s">
        <v>33</v>
      </c>
      <c r="F224" s="354">
        <v>40969</v>
      </c>
      <c r="G224" s="354">
        <v>41072</v>
      </c>
      <c r="H224" s="354">
        <v>41086</v>
      </c>
      <c r="I224" s="355">
        <v>79000</v>
      </c>
      <c r="J224" s="355">
        <f>+I224+I223</f>
        <v>132000</v>
      </c>
      <c r="K224" s="355">
        <v>118900</v>
      </c>
      <c r="L224" s="330">
        <f>J224-K224</f>
        <v>13100</v>
      </c>
      <c r="M224" s="356"/>
      <c r="O224" s="305">
        <f t="shared" si="3"/>
        <v>0</v>
      </c>
    </row>
    <row r="225" spans="1:15" s="322" customFormat="1" ht="12.6" thickBot="1">
      <c r="A225" s="353" t="s">
        <v>586</v>
      </c>
      <c r="B225" s="327" t="s">
        <v>349</v>
      </c>
      <c r="C225" s="326" t="s">
        <v>587</v>
      </c>
      <c r="D225" s="327" t="s">
        <v>38</v>
      </c>
      <c r="E225" s="327" t="s">
        <v>33</v>
      </c>
      <c r="F225" s="354">
        <v>40930</v>
      </c>
      <c r="G225" s="354">
        <v>40945</v>
      </c>
      <c r="H225" s="354">
        <v>40973</v>
      </c>
      <c r="I225" s="355">
        <v>284109.65999999997</v>
      </c>
      <c r="J225" s="355">
        <f>I225</f>
        <v>284109.65999999997</v>
      </c>
      <c r="K225" s="355">
        <v>118900</v>
      </c>
      <c r="L225" s="330">
        <f>J225-K225</f>
        <v>165209.65999999997</v>
      </c>
      <c r="M225" s="356"/>
      <c r="O225" s="305">
        <f t="shared" si="3"/>
        <v>0</v>
      </c>
    </row>
    <row r="226" spans="1:15" s="322" customFormat="1" ht="12.6" thickBot="1">
      <c r="A226" s="353" t="s">
        <v>588</v>
      </c>
      <c r="B226" s="327" t="s">
        <v>30</v>
      </c>
      <c r="C226" s="326" t="s">
        <v>589</v>
      </c>
      <c r="D226" s="327" t="s">
        <v>59</v>
      </c>
      <c r="E226" s="327" t="s">
        <v>33</v>
      </c>
      <c r="F226" s="354">
        <v>41261</v>
      </c>
      <c r="G226" s="354">
        <v>41292</v>
      </c>
      <c r="H226" s="354">
        <v>41297</v>
      </c>
      <c r="I226" s="355">
        <v>29838</v>
      </c>
      <c r="J226" s="355"/>
      <c r="K226" s="355"/>
      <c r="L226" s="330"/>
      <c r="M226" s="356"/>
      <c r="O226" s="305">
        <f t="shared" si="3"/>
        <v>0</v>
      </c>
    </row>
    <row r="227" spans="1:15" s="322" customFormat="1" ht="12.6" thickBot="1">
      <c r="A227" s="353" t="s">
        <v>590</v>
      </c>
      <c r="B227" s="327" t="s">
        <v>28</v>
      </c>
      <c r="C227" s="326" t="s">
        <v>589</v>
      </c>
      <c r="D227" s="327" t="s">
        <v>59</v>
      </c>
      <c r="E227" s="327" t="s">
        <v>33</v>
      </c>
      <c r="F227" s="354">
        <v>41261</v>
      </c>
      <c r="G227" s="354">
        <v>41292</v>
      </c>
      <c r="H227" s="354">
        <v>41297</v>
      </c>
      <c r="I227" s="355">
        <v>117017.99</v>
      </c>
      <c r="J227" s="355"/>
      <c r="K227" s="355"/>
      <c r="L227" s="330"/>
      <c r="M227" s="356"/>
      <c r="O227" s="305">
        <f t="shared" si="3"/>
        <v>0</v>
      </c>
    </row>
    <row r="228" spans="1:15" s="322" customFormat="1" ht="12.6" thickBot="1">
      <c r="A228" s="353" t="s">
        <v>1264</v>
      </c>
      <c r="B228" s="327" t="s">
        <v>28</v>
      </c>
      <c r="C228" s="326" t="s">
        <v>589</v>
      </c>
      <c r="D228" s="327" t="s">
        <v>750</v>
      </c>
      <c r="E228" s="327" t="s">
        <v>33</v>
      </c>
      <c r="F228" s="354">
        <v>41261</v>
      </c>
      <c r="G228" s="354">
        <v>41318</v>
      </c>
      <c r="H228" s="354">
        <v>41319</v>
      </c>
      <c r="I228" s="355">
        <v>14950.52</v>
      </c>
      <c r="J228" s="355">
        <f>SUM(I226:I228)</f>
        <v>161806.50999999998</v>
      </c>
      <c r="K228" s="355">
        <v>118900</v>
      </c>
      <c r="L228" s="330">
        <f>+J228-K228</f>
        <v>42906.50999999998</v>
      </c>
      <c r="M228" s="356"/>
      <c r="O228" s="305">
        <f t="shared" si="3"/>
        <v>0</v>
      </c>
    </row>
    <row r="229" spans="1:15" s="322" customFormat="1" ht="12.6" thickBot="1">
      <c r="A229" s="353" t="s">
        <v>567</v>
      </c>
      <c r="B229" s="327" t="s">
        <v>349</v>
      </c>
      <c r="C229" s="326" t="s">
        <v>591</v>
      </c>
      <c r="D229" s="327" t="s">
        <v>592</v>
      </c>
      <c r="E229" s="327" t="s">
        <v>33</v>
      </c>
      <c r="F229" s="354">
        <v>40960</v>
      </c>
      <c r="G229" s="354">
        <v>41066</v>
      </c>
      <c r="H229" s="354">
        <v>41072</v>
      </c>
      <c r="I229" s="355">
        <v>157009.13</v>
      </c>
      <c r="J229" s="355">
        <f>+I229</f>
        <v>157009.13</v>
      </c>
      <c r="K229" s="355">
        <v>118900</v>
      </c>
      <c r="L229" s="330">
        <f>J229-K229</f>
        <v>38109.130000000005</v>
      </c>
      <c r="M229" s="356"/>
      <c r="O229" s="305">
        <f t="shared" si="3"/>
        <v>0</v>
      </c>
    </row>
    <row r="230" spans="1:15" s="322" customFormat="1" ht="12.6" thickBot="1">
      <c r="A230" s="353" t="s">
        <v>593</v>
      </c>
      <c r="B230" s="327" t="s">
        <v>30</v>
      </c>
      <c r="C230" s="326" t="s">
        <v>594</v>
      </c>
      <c r="D230" s="327" t="s">
        <v>595</v>
      </c>
      <c r="E230" s="327" t="s">
        <v>33</v>
      </c>
      <c r="F230" s="354">
        <v>41195</v>
      </c>
      <c r="G230" s="354">
        <v>41257</v>
      </c>
      <c r="H230" s="354">
        <v>41260</v>
      </c>
      <c r="I230" s="355">
        <v>52771.22</v>
      </c>
      <c r="J230" s="355"/>
      <c r="K230" s="355"/>
      <c r="L230" s="330"/>
      <c r="M230" s="356"/>
      <c r="O230" s="305">
        <f t="shared" si="3"/>
        <v>0</v>
      </c>
    </row>
    <row r="231" spans="1:15" s="322" customFormat="1" ht="12.6" thickBot="1">
      <c r="A231" s="353" t="s">
        <v>596</v>
      </c>
      <c r="B231" s="327" t="s">
        <v>349</v>
      </c>
      <c r="C231" s="326" t="s">
        <v>594</v>
      </c>
      <c r="D231" s="327" t="s">
        <v>595</v>
      </c>
      <c r="E231" s="327" t="s">
        <v>33</v>
      </c>
      <c r="F231" s="354">
        <v>41195</v>
      </c>
      <c r="G231" s="354">
        <v>41257</v>
      </c>
      <c r="H231" s="354">
        <v>41260</v>
      </c>
      <c r="I231" s="355">
        <v>79237.59</v>
      </c>
      <c r="J231" s="355">
        <f>SUM(I230:I231)</f>
        <v>132008.81</v>
      </c>
      <c r="K231" s="355">
        <v>118900</v>
      </c>
      <c r="L231" s="330">
        <f>J231-K231</f>
        <v>13108.809999999998</v>
      </c>
      <c r="M231" s="356"/>
      <c r="O231" s="305">
        <f t="shared" si="3"/>
        <v>0</v>
      </c>
    </row>
    <row r="232" spans="1:15" s="322" customFormat="1" ht="12.6" thickBot="1">
      <c r="A232" s="353" t="s">
        <v>1222</v>
      </c>
      <c r="B232" s="327" t="s">
        <v>30</v>
      </c>
      <c r="C232" s="326" t="s">
        <v>1230</v>
      </c>
      <c r="D232" s="327" t="s">
        <v>1234</v>
      </c>
      <c r="E232" s="327" t="s">
        <v>33</v>
      </c>
      <c r="F232" s="354">
        <v>41249</v>
      </c>
      <c r="G232" s="354">
        <v>41311</v>
      </c>
      <c r="H232" s="354">
        <v>41319</v>
      </c>
      <c r="I232" s="355">
        <v>142703.9</v>
      </c>
      <c r="J232" s="355"/>
      <c r="K232" s="355"/>
      <c r="L232" s="330"/>
      <c r="M232" s="356"/>
      <c r="O232" s="305">
        <f t="shared" si="3"/>
        <v>0</v>
      </c>
    </row>
    <row r="233" spans="1:15" s="322" customFormat="1" ht="12.6" thickBot="1">
      <c r="A233" s="353" t="s">
        <v>1223</v>
      </c>
      <c r="B233" s="327" t="s">
        <v>28</v>
      </c>
      <c r="C233" s="326" t="s">
        <v>1230</v>
      </c>
      <c r="D233" s="327" t="s">
        <v>1234</v>
      </c>
      <c r="E233" s="327" t="s">
        <v>33</v>
      </c>
      <c r="F233" s="354">
        <v>41249</v>
      </c>
      <c r="G233" s="354">
        <v>41311</v>
      </c>
      <c r="H233" s="354">
        <v>41319</v>
      </c>
      <c r="I233" s="355">
        <v>14229.41</v>
      </c>
      <c r="J233" s="355"/>
      <c r="K233" s="355"/>
      <c r="L233" s="330"/>
      <c r="M233" s="356"/>
      <c r="O233" s="305">
        <f t="shared" si="3"/>
        <v>0</v>
      </c>
    </row>
    <row r="234" spans="1:15" s="322" customFormat="1" ht="12.6" thickBot="1">
      <c r="A234" s="353" t="s">
        <v>1265</v>
      </c>
      <c r="B234" s="327" t="s">
        <v>30</v>
      </c>
      <c r="C234" s="326" t="s">
        <v>1230</v>
      </c>
      <c r="D234" s="327" t="s">
        <v>1234</v>
      </c>
      <c r="E234" s="327" t="s">
        <v>33</v>
      </c>
      <c r="F234" s="354">
        <v>41249</v>
      </c>
      <c r="G234" s="354">
        <v>41285</v>
      </c>
      <c r="H234" s="354">
        <v>41290</v>
      </c>
      <c r="I234" s="355">
        <v>45482.45</v>
      </c>
      <c r="J234" s="355">
        <f>SUM(I232:I234)</f>
        <v>202415.76</v>
      </c>
      <c r="K234" s="355">
        <v>118900</v>
      </c>
      <c r="L234" s="330">
        <f>J234-K234</f>
        <v>83515.760000000009</v>
      </c>
      <c r="M234" s="356"/>
      <c r="O234" s="305">
        <f t="shared" si="3"/>
        <v>0</v>
      </c>
    </row>
    <row r="235" spans="1:15" s="322" customFormat="1" ht="12.6" thickBot="1">
      <c r="A235" s="353" t="s">
        <v>597</v>
      </c>
      <c r="B235" s="327" t="s">
        <v>349</v>
      </c>
      <c r="C235" s="326" t="s">
        <v>598</v>
      </c>
      <c r="D235" s="327" t="s">
        <v>25</v>
      </c>
      <c r="E235" s="327" t="s">
        <v>26</v>
      </c>
      <c r="F235" s="354">
        <v>41129</v>
      </c>
      <c r="G235" s="354">
        <v>41199</v>
      </c>
      <c r="H235" s="354">
        <v>41205</v>
      </c>
      <c r="I235" s="355">
        <v>224735.24</v>
      </c>
      <c r="J235" s="355"/>
      <c r="K235" s="355"/>
      <c r="L235" s="330"/>
      <c r="M235" s="356"/>
      <c r="O235" s="305">
        <f t="shared" si="3"/>
        <v>0</v>
      </c>
    </row>
    <row r="236" spans="1:15" s="322" customFormat="1" ht="12.6" thickBot="1">
      <c r="A236" s="353" t="s">
        <v>599</v>
      </c>
      <c r="B236" s="327" t="s">
        <v>30</v>
      </c>
      <c r="C236" s="326" t="s">
        <v>598</v>
      </c>
      <c r="D236" s="327" t="s">
        <v>25</v>
      </c>
      <c r="E236" s="327" t="s">
        <v>26</v>
      </c>
      <c r="F236" s="354">
        <v>41129</v>
      </c>
      <c r="G236" s="354">
        <v>41199</v>
      </c>
      <c r="H236" s="354">
        <v>41240</v>
      </c>
      <c r="I236" s="355">
        <v>39223.589999999997</v>
      </c>
      <c r="J236" s="355"/>
      <c r="K236" s="355"/>
      <c r="L236" s="330"/>
      <c r="M236" s="356"/>
      <c r="O236" s="305">
        <f t="shared" si="3"/>
        <v>0</v>
      </c>
    </row>
    <row r="237" spans="1:15" s="322" customFormat="1" ht="12.6" thickBot="1">
      <c r="A237" s="353" t="s">
        <v>600</v>
      </c>
      <c r="B237" s="327" t="s">
        <v>30</v>
      </c>
      <c r="C237" s="326" t="s">
        <v>598</v>
      </c>
      <c r="D237" s="327" t="s">
        <v>25</v>
      </c>
      <c r="E237" s="327" t="s">
        <v>26</v>
      </c>
      <c r="F237" s="354">
        <v>41129</v>
      </c>
      <c r="G237" s="354">
        <v>41199</v>
      </c>
      <c r="H237" s="354">
        <v>41254</v>
      </c>
      <c r="I237" s="355">
        <v>44223.59</v>
      </c>
      <c r="J237" s="355">
        <f>SUM(I235:I237)</f>
        <v>308182.41999999993</v>
      </c>
      <c r="K237" s="355">
        <v>118900</v>
      </c>
      <c r="L237" s="330">
        <f>J237-K237</f>
        <v>189282.41999999993</v>
      </c>
      <c r="M237" s="356"/>
      <c r="O237" s="305">
        <f t="shared" si="3"/>
        <v>0</v>
      </c>
    </row>
    <row r="238" spans="1:15" s="322" customFormat="1" ht="12.6" thickBot="1">
      <c r="A238" s="353" t="s">
        <v>1271</v>
      </c>
      <c r="B238" s="327" t="s">
        <v>30</v>
      </c>
      <c r="C238" s="326" t="s">
        <v>1273</v>
      </c>
      <c r="D238" s="327" t="s">
        <v>38</v>
      </c>
      <c r="E238" s="327" t="s">
        <v>33</v>
      </c>
      <c r="F238" s="354">
        <v>41271</v>
      </c>
      <c r="G238" s="354">
        <v>41369</v>
      </c>
      <c r="H238" s="354">
        <v>41369</v>
      </c>
      <c r="I238" s="355">
        <v>55000</v>
      </c>
      <c r="J238" s="355"/>
      <c r="K238" s="355"/>
      <c r="L238" s="330"/>
      <c r="M238" s="356"/>
      <c r="O238" s="305">
        <f t="shared" si="3"/>
        <v>0</v>
      </c>
    </row>
    <row r="239" spans="1:15" s="322" customFormat="1" ht="12.6" thickBot="1">
      <c r="A239" s="353" t="s">
        <v>1272</v>
      </c>
      <c r="B239" s="327" t="s">
        <v>28</v>
      </c>
      <c r="C239" s="326" t="s">
        <v>1273</v>
      </c>
      <c r="D239" s="327" t="s">
        <v>38</v>
      </c>
      <c r="E239" s="327" t="s">
        <v>33</v>
      </c>
      <c r="F239" s="354">
        <v>41271</v>
      </c>
      <c r="G239" s="354">
        <v>41369</v>
      </c>
      <c r="H239" s="354">
        <v>41369</v>
      </c>
      <c r="I239" s="355">
        <v>123538.56</v>
      </c>
      <c r="J239" s="355">
        <f>SUM(I238:I239)</f>
        <v>178538.56</v>
      </c>
      <c r="K239" s="355">
        <v>118900</v>
      </c>
      <c r="L239" s="330">
        <f>J239-K239</f>
        <v>59638.559999999998</v>
      </c>
      <c r="M239" s="356"/>
      <c r="O239" s="305">
        <f t="shared" si="3"/>
        <v>0</v>
      </c>
    </row>
    <row r="240" spans="1:15" s="322" customFormat="1" ht="12.6" thickBot="1">
      <c r="A240" s="353" t="s">
        <v>601</v>
      </c>
      <c r="B240" s="327" t="s">
        <v>30</v>
      </c>
      <c r="C240" s="326" t="s">
        <v>602</v>
      </c>
      <c r="D240" s="327" t="s">
        <v>603</v>
      </c>
      <c r="E240" s="327" t="s">
        <v>33</v>
      </c>
      <c r="F240" s="354">
        <v>41196</v>
      </c>
      <c r="G240" s="354">
        <v>41229</v>
      </c>
      <c r="H240" s="354">
        <v>41240</v>
      </c>
      <c r="I240" s="355">
        <v>39750</v>
      </c>
      <c r="J240" s="355"/>
      <c r="K240" s="355"/>
      <c r="L240" s="330"/>
      <c r="M240" s="356"/>
      <c r="O240" s="305">
        <f t="shared" si="3"/>
        <v>0</v>
      </c>
    </row>
    <row r="241" spans="1:15" s="322" customFormat="1" ht="12.6" thickBot="1">
      <c r="A241" s="353" t="s">
        <v>604</v>
      </c>
      <c r="B241" s="327" t="s">
        <v>349</v>
      </c>
      <c r="C241" s="326" t="s">
        <v>602</v>
      </c>
      <c r="D241" s="327" t="s">
        <v>603</v>
      </c>
      <c r="E241" s="327" t="s">
        <v>33</v>
      </c>
      <c r="F241" s="354">
        <v>41196</v>
      </c>
      <c r="G241" s="354">
        <v>41229</v>
      </c>
      <c r="H241" s="354">
        <v>41240</v>
      </c>
      <c r="I241" s="355">
        <v>200000</v>
      </c>
      <c r="J241" s="355"/>
      <c r="K241" s="355"/>
      <c r="L241" s="330"/>
      <c r="M241" s="356"/>
      <c r="O241" s="305">
        <f t="shared" si="3"/>
        <v>0</v>
      </c>
    </row>
    <row r="242" spans="1:15" s="322" customFormat="1" ht="12.6" thickBot="1">
      <c r="A242" s="353" t="s">
        <v>601</v>
      </c>
      <c r="B242" s="327" t="s">
        <v>30</v>
      </c>
      <c r="C242" s="326" t="s">
        <v>602</v>
      </c>
      <c r="D242" s="327" t="s">
        <v>603</v>
      </c>
      <c r="E242" s="327" t="s">
        <v>33</v>
      </c>
      <c r="F242" s="354">
        <v>41196</v>
      </c>
      <c r="G242" s="354">
        <v>41229</v>
      </c>
      <c r="H242" s="354">
        <v>41261</v>
      </c>
      <c r="I242" s="355">
        <v>13250</v>
      </c>
      <c r="J242" s="355">
        <f>SUM(I240:I242)</f>
        <v>253000</v>
      </c>
      <c r="K242" s="355">
        <v>118900</v>
      </c>
      <c r="L242" s="330">
        <f>J242-K242</f>
        <v>134100</v>
      </c>
      <c r="M242" s="356"/>
      <c r="O242" s="305">
        <f t="shared" si="3"/>
        <v>0</v>
      </c>
    </row>
    <row r="243" spans="1:15" s="322" customFormat="1" ht="12.6" thickBot="1">
      <c r="A243" s="353" t="s">
        <v>558</v>
      </c>
      <c r="B243" s="327" t="s">
        <v>349</v>
      </c>
      <c r="C243" s="326" t="s">
        <v>605</v>
      </c>
      <c r="D243" s="327" t="s">
        <v>606</v>
      </c>
      <c r="E243" s="327" t="s">
        <v>33</v>
      </c>
      <c r="F243" s="354">
        <v>40909</v>
      </c>
      <c r="G243" s="354">
        <v>40927</v>
      </c>
      <c r="H243" s="354">
        <v>40959</v>
      </c>
      <c r="I243" s="355">
        <v>78000</v>
      </c>
      <c r="J243" s="355"/>
      <c r="K243" s="355"/>
      <c r="L243" s="330"/>
      <c r="M243" s="356"/>
      <c r="O243" s="305">
        <f t="shared" si="3"/>
        <v>0</v>
      </c>
    </row>
    <row r="244" spans="1:15" s="322" customFormat="1" ht="12.6" thickBot="1">
      <c r="A244" s="353" t="s">
        <v>607</v>
      </c>
      <c r="B244" s="327" t="s">
        <v>93</v>
      </c>
      <c r="C244" s="326" t="s">
        <v>605</v>
      </c>
      <c r="D244" s="327" t="s">
        <v>606</v>
      </c>
      <c r="E244" s="327" t="s">
        <v>33</v>
      </c>
      <c r="F244" s="354">
        <v>40909</v>
      </c>
      <c r="G244" s="354">
        <v>40927</v>
      </c>
      <c r="H244" s="354">
        <v>40959</v>
      </c>
      <c r="I244" s="355">
        <v>52500</v>
      </c>
      <c r="J244" s="355">
        <f>I243+I244</f>
        <v>130500</v>
      </c>
      <c r="K244" s="355">
        <v>118900</v>
      </c>
      <c r="L244" s="330">
        <f>J244-K244</f>
        <v>11600</v>
      </c>
      <c r="M244" s="356"/>
      <c r="O244" s="305">
        <f t="shared" si="3"/>
        <v>0</v>
      </c>
    </row>
    <row r="245" spans="1:15" s="322" customFormat="1" ht="12.6" thickBot="1">
      <c r="A245" s="353" t="s">
        <v>608</v>
      </c>
      <c r="B245" s="327" t="s">
        <v>30</v>
      </c>
      <c r="C245" s="326" t="s">
        <v>609</v>
      </c>
      <c r="D245" s="327" t="s">
        <v>610</v>
      </c>
      <c r="E245" s="327" t="s">
        <v>33</v>
      </c>
      <c r="F245" s="354">
        <v>40968</v>
      </c>
      <c r="G245" s="354">
        <v>40976</v>
      </c>
      <c r="H245" s="354">
        <v>40989</v>
      </c>
      <c r="I245" s="355">
        <v>160000</v>
      </c>
      <c r="J245" s="355"/>
      <c r="K245" s="355"/>
      <c r="L245" s="330"/>
      <c r="M245" s="356"/>
      <c r="O245" s="305">
        <f t="shared" si="3"/>
        <v>0</v>
      </c>
    </row>
    <row r="246" spans="1:15" s="322" customFormat="1" ht="12.6" thickBot="1">
      <c r="A246" s="353" t="s">
        <v>611</v>
      </c>
      <c r="B246" s="327" t="s">
        <v>349</v>
      </c>
      <c r="C246" s="326" t="s">
        <v>609</v>
      </c>
      <c r="D246" s="327" t="s">
        <v>610</v>
      </c>
      <c r="E246" s="327" t="s">
        <v>33</v>
      </c>
      <c r="F246" s="354">
        <v>40968</v>
      </c>
      <c r="G246" s="354">
        <v>40976</v>
      </c>
      <c r="H246" s="354">
        <v>40989</v>
      </c>
      <c r="I246" s="355">
        <v>150000</v>
      </c>
      <c r="J246" s="355">
        <f>I245+I246</f>
        <v>310000</v>
      </c>
      <c r="K246" s="355">
        <v>118900</v>
      </c>
      <c r="L246" s="330">
        <f>J246-K246</f>
        <v>191100</v>
      </c>
      <c r="M246" s="356"/>
      <c r="O246" s="305">
        <f t="shared" si="3"/>
        <v>0</v>
      </c>
    </row>
    <row r="247" spans="1:15" ht="15" thickBot="1">
      <c r="A247" s="240"/>
      <c r="B247" s="240"/>
      <c r="C247" s="240"/>
      <c r="D247" s="240"/>
      <c r="E247" s="240"/>
      <c r="F247" s="240"/>
      <c r="G247" s="240"/>
      <c r="H247" s="240" t="s">
        <v>215</v>
      </c>
      <c r="I247" s="253">
        <f>SUM(I10:I246)</f>
        <v>29309444.089999996</v>
      </c>
      <c r="J247" s="253">
        <f>SUM(J10:J246)</f>
        <v>29309444.09</v>
      </c>
      <c r="K247" s="253">
        <f>SUM(K10:K246)</f>
        <v>13197900</v>
      </c>
      <c r="L247" s="253">
        <f>SUM(L10:L246)</f>
        <v>16111544.090000004</v>
      </c>
      <c r="M247" s="253">
        <f>SUM(M11:M159)</f>
        <v>0</v>
      </c>
      <c r="O247" s="254">
        <f>SUM(O10:O246)</f>
        <v>1461079.2999999998</v>
      </c>
    </row>
    <row r="248" spans="1:15">
      <c r="A248" s="243"/>
      <c r="B248" s="243"/>
      <c r="C248" s="243"/>
      <c r="D248" s="243"/>
      <c r="E248" s="243"/>
      <c r="F248" s="243"/>
      <c r="G248" s="243"/>
      <c r="H248" s="243"/>
      <c r="I248" s="243"/>
      <c r="J248" s="243"/>
      <c r="K248" s="243"/>
      <c r="L248" s="244"/>
      <c r="M248" s="182"/>
    </row>
    <row r="249" spans="1:15" ht="15.6">
      <c r="A249" s="246"/>
      <c r="B249" s="246"/>
      <c r="C249" s="246"/>
      <c r="D249" s="246"/>
      <c r="E249" s="246"/>
      <c r="F249" s="246"/>
      <c r="G249" s="246"/>
      <c r="H249" s="246"/>
      <c r="I249" s="248"/>
      <c r="J249" s="247"/>
      <c r="K249" s="247"/>
    </row>
    <row r="250" spans="1:15" ht="15.6">
      <c r="A250" s="246"/>
      <c r="E250" s="249"/>
      <c r="F250" s="247"/>
      <c r="G250" s="247"/>
      <c r="H250" s="247"/>
      <c r="I250" s="247"/>
      <c r="J250" s="247"/>
      <c r="K250" s="247"/>
      <c r="L250" s="255"/>
    </row>
    <row r="251" spans="1:15">
      <c r="E251" s="247"/>
      <c r="F251" s="247"/>
      <c r="G251" s="247"/>
      <c r="H251" s="247"/>
      <c r="I251" s="247"/>
      <c r="J251" s="247"/>
      <c r="K251" s="247"/>
      <c r="L251" s="99"/>
    </row>
    <row r="252" spans="1:15">
      <c r="A252" s="250" t="s">
        <v>216</v>
      </c>
      <c r="C252" s="72" t="str">
        <f>'[3]Cálculo con Tasa Fija'!B39</f>
        <v>Tegucigalpa, M.D.C., 22 de Febrero, 2013</v>
      </c>
    </row>
    <row r="254" spans="1:15">
      <c r="B254" s="243"/>
      <c r="C254" s="243"/>
      <c r="D254" s="243"/>
    </row>
  </sheetData>
  <autoFilter ref="A9:M247" xr:uid="{00000000-0009-0000-0000-000002000000}"/>
  <sortState xmlns:xlrd2="http://schemas.microsoft.com/office/spreadsheetml/2017/richdata2" ref="A10:M258">
    <sortCondition ref="C10:C258"/>
  </sortState>
  <mergeCells count="6">
    <mergeCell ref="A8:M8"/>
    <mergeCell ref="A3:B3"/>
    <mergeCell ref="A4:B4"/>
    <mergeCell ref="A5:B5"/>
    <mergeCell ref="A6:M6"/>
    <mergeCell ref="A7:M7"/>
  </mergeCells>
  <pageMargins left="0.70866141732283472" right="0.70866141732283472" top="0.74803149606299213" bottom="0.74803149606299213" header="0.31496062992125984" footer="0.31496062992125984"/>
  <pageSetup scale="47" orientation="landscape" r:id="rId1"/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66"/>
  <sheetViews>
    <sheetView showGridLines="0" topLeftCell="A2" workbookViewId="0">
      <selection activeCell="A9" sqref="A9"/>
    </sheetView>
  </sheetViews>
  <sheetFormatPr baseColWidth="10" defaultColWidth="11.44140625" defaultRowHeight="14.4"/>
  <cols>
    <col min="1" max="1" width="16.44140625" style="72" customWidth="1"/>
    <col min="2" max="2" width="24.6640625" style="72" bestFit="1" customWidth="1"/>
    <col min="3" max="3" width="37.33203125" style="72" customWidth="1"/>
    <col min="4" max="4" width="49.5546875" style="72" customWidth="1"/>
    <col min="5" max="5" width="33.5546875" style="72" customWidth="1"/>
    <col min="6" max="6" width="12.44140625" style="72" customWidth="1"/>
    <col min="7" max="7" width="14.109375" style="72" customWidth="1"/>
    <col min="8" max="8" width="13.6640625" style="72" customWidth="1"/>
    <col min="9" max="9" width="16.44140625" style="72" customWidth="1"/>
    <col min="10" max="10" width="15.88671875" style="72" customWidth="1"/>
    <col min="11" max="11" width="16.88671875" style="72" customWidth="1"/>
    <col min="12" max="12" width="16" style="72" customWidth="1"/>
    <col min="13" max="13" width="16.88671875" style="72" customWidth="1"/>
    <col min="14" max="14" width="11.44140625" style="72"/>
    <col min="15" max="15" width="20.109375" style="72" bestFit="1" customWidth="1"/>
    <col min="16" max="16" width="13" style="72" bestFit="1" customWidth="1"/>
    <col min="17" max="20" width="11.44140625" style="72"/>
    <col min="21" max="21" width="40.6640625" style="72" bestFit="1" customWidth="1"/>
    <col min="22" max="16384" width="11.44140625" style="72"/>
  </cols>
  <sheetData>
    <row r="1" spans="1:21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21" ht="18.600000000000001" thickBot="1">
      <c r="A2" s="202" t="s">
        <v>0</v>
      </c>
      <c r="B2" s="149"/>
      <c r="C2" s="203" t="s">
        <v>1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21" ht="18.600000000000001" thickBot="1">
      <c r="A3" s="742" t="s">
        <v>2</v>
      </c>
      <c r="B3" s="743"/>
      <c r="C3" s="203" t="s">
        <v>3</v>
      </c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21" ht="18.600000000000001" thickBot="1">
      <c r="A4" s="745" t="s">
        <v>4</v>
      </c>
      <c r="B4" s="746"/>
      <c r="C4" s="207">
        <v>20.739000000000001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21" ht="32.25" customHeight="1" thickBot="1">
      <c r="A5" s="749" t="s">
        <v>5</v>
      </c>
      <c r="B5" s="750"/>
      <c r="C5" s="208" t="s">
        <v>6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21" ht="18.600000000000001" thickBot="1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</row>
    <row r="7" spans="1:21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21" ht="18.600000000000001" thickBot="1">
      <c r="A8" s="739" t="s">
        <v>8</v>
      </c>
      <c r="B8" s="740"/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1"/>
      <c r="O8" s="256" t="s">
        <v>1090</v>
      </c>
      <c r="P8" s="257">
        <f>'BURNING COST'!F8</f>
        <v>721704</v>
      </c>
    </row>
    <row r="9" spans="1:21" ht="29.4" thickBot="1">
      <c r="A9" s="156" t="s">
        <v>9</v>
      </c>
      <c r="B9" s="157" t="s">
        <v>10</v>
      </c>
      <c r="C9" s="157" t="s">
        <v>11</v>
      </c>
      <c r="D9" s="157" t="s">
        <v>12</v>
      </c>
      <c r="E9" s="157" t="s">
        <v>13</v>
      </c>
      <c r="F9" s="251" t="s">
        <v>14</v>
      </c>
      <c r="G9" s="157" t="s">
        <v>15</v>
      </c>
      <c r="H9" s="157" t="s">
        <v>16</v>
      </c>
      <c r="I9" s="156" t="s">
        <v>17</v>
      </c>
      <c r="J9" s="251" t="s">
        <v>18</v>
      </c>
      <c r="K9" s="258" t="s">
        <v>19</v>
      </c>
      <c r="L9" s="157" t="s">
        <v>20</v>
      </c>
      <c r="M9" s="252" t="s">
        <v>21</v>
      </c>
      <c r="O9" s="259" t="s">
        <v>1091</v>
      </c>
      <c r="P9" s="216"/>
      <c r="U9" s="260" t="s">
        <v>1062</v>
      </c>
    </row>
    <row r="10" spans="1:21" s="399" customFormat="1" ht="12">
      <c r="A10" s="391" t="s">
        <v>1330</v>
      </c>
      <c r="B10" s="161" t="s">
        <v>30</v>
      </c>
      <c r="C10" s="392" t="s">
        <v>1334</v>
      </c>
      <c r="D10" s="393" t="s">
        <v>1336</v>
      </c>
      <c r="E10" s="394" t="s">
        <v>33</v>
      </c>
      <c r="F10" s="395">
        <v>41619</v>
      </c>
      <c r="G10" s="396">
        <v>41654</v>
      </c>
      <c r="H10" s="396">
        <v>41663</v>
      </c>
      <c r="I10" s="168">
        <v>55000</v>
      </c>
      <c r="J10" s="168"/>
      <c r="K10" s="168"/>
      <c r="L10" s="397"/>
      <c r="M10" s="398"/>
      <c r="O10" s="400"/>
      <c r="U10" s="401" t="s">
        <v>1334</v>
      </c>
    </row>
    <row r="11" spans="1:21" s="399" customFormat="1" ht="12.6" thickBot="1">
      <c r="A11" s="402" t="s">
        <v>1331</v>
      </c>
      <c r="B11" s="171" t="s">
        <v>28</v>
      </c>
      <c r="C11" s="403" t="s">
        <v>1334</v>
      </c>
      <c r="D11" s="404" t="s">
        <v>1336</v>
      </c>
      <c r="E11" s="405" t="s">
        <v>33</v>
      </c>
      <c r="F11" s="406">
        <v>41619</v>
      </c>
      <c r="G11" s="407">
        <v>41659</v>
      </c>
      <c r="H11" s="407">
        <v>41694</v>
      </c>
      <c r="I11" s="408">
        <v>542676.01</v>
      </c>
      <c r="J11" s="409">
        <f>+I11+I10</f>
        <v>597676.01</v>
      </c>
      <c r="K11" s="409">
        <v>190300</v>
      </c>
      <c r="L11" s="410">
        <f>+J11-K11</f>
        <v>407376.01</v>
      </c>
      <c r="M11" s="411"/>
      <c r="O11" s="400">
        <f>IF($J11&gt;P$8,$J11-P$8,0)</f>
        <v>0</v>
      </c>
      <c r="P11" s="412"/>
      <c r="U11" s="401" t="s">
        <v>24</v>
      </c>
    </row>
    <row r="12" spans="1:21" s="399" customFormat="1" ht="12">
      <c r="A12" s="402" t="s">
        <v>22</v>
      </c>
      <c r="B12" s="171" t="s">
        <v>23</v>
      </c>
      <c r="C12" s="403" t="s">
        <v>24</v>
      </c>
      <c r="D12" s="404" t="s">
        <v>25</v>
      </c>
      <c r="E12" s="405" t="s">
        <v>26</v>
      </c>
      <c r="F12" s="406">
        <v>41482</v>
      </c>
      <c r="G12" s="407">
        <v>41571</v>
      </c>
      <c r="H12" s="407">
        <v>41583</v>
      </c>
      <c r="I12" s="413">
        <v>402625.76</v>
      </c>
      <c r="J12" s="413"/>
      <c r="K12" s="413"/>
      <c r="L12" s="414"/>
      <c r="M12" s="411"/>
      <c r="O12" s="400">
        <f t="shared" ref="O12:O75" si="0">IF($J12&gt;P$8,$J12-P$8,0)</f>
        <v>0</v>
      </c>
      <c r="U12" s="401" t="s">
        <v>1339</v>
      </c>
    </row>
    <row r="13" spans="1:21" s="399" customFormat="1" ht="12.6" thickBot="1">
      <c r="A13" s="402" t="s">
        <v>27</v>
      </c>
      <c r="B13" s="171" t="s">
        <v>28</v>
      </c>
      <c r="C13" s="403" t="s">
        <v>24</v>
      </c>
      <c r="D13" s="404" t="s">
        <v>25</v>
      </c>
      <c r="E13" s="405" t="s">
        <v>26</v>
      </c>
      <c r="F13" s="406">
        <v>41482</v>
      </c>
      <c r="G13" s="407">
        <v>41571</v>
      </c>
      <c r="H13" s="407">
        <v>41583</v>
      </c>
      <c r="I13" s="408">
        <v>500000</v>
      </c>
      <c r="J13" s="409">
        <f>+I13+I12</f>
        <v>902625.76</v>
      </c>
      <c r="K13" s="409">
        <v>190300</v>
      </c>
      <c r="L13" s="410">
        <f>+J13-K13</f>
        <v>712325.76</v>
      </c>
      <c r="M13" s="411"/>
      <c r="O13" s="400">
        <f t="shared" si="0"/>
        <v>180921.76</v>
      </c>
      <c r="U13" s="401" t="s">
        <v>1328</v>
      </c>
    </row>
    <row r="14" spans="1:21" s="399" customFormat="1" ht="12.6" thickBot="1">
      <c r="A14" s="402" t="s">
        <v>1338</v>
      </c>
      <c r="B14" s="171" t="s">
        <v>28</v>
      </c>
      <c r="C14" s="403" t="s">
        <v>1339</v>
      </c>
      <c r="D14" s="404" t="s">
        <v>1340</v>
      </c>
      <c r="E14" s="405" t="s">
        <v>33</v>
      </c>
      <c r="F14" s="406">
        <v>41619</v>
      </c>
      <c r="G14" s="407">
        <v>41683</v>
      </c>
      <c r="H14" s="407">
        <v>41695</v>
      </c>
      <c r="I14" s="413">
        <v>480000</v>
      </c>
      <c r="J14" s="413">
        <f>+I14</f>
        <v>480000</v>
      </c>
      <c r="K14" s="409">
        <v>190300</v>
      </c>
      <c r="L14" s="414">
        <f>+J14-K14</f>
        <v>289700</v>
      </c>
      <c r="M14" s="411"/>
      <c r="O14" s="400">
        <f t="shared" si="0"/>
        <v>0</v>
      </c>
      <c r="U14" s="401" t="s">
        <v>31</v>
      </c>
    </row>
    <row r="15" spans="1:21" s="399" customFormat="1" ht="12">
      <c r="A15" s="402" t="s">
        <v>1327</v>
      </c>
      <c r="B15" s="171" t="s">
        <v>28</v>
      </c>
      <c r="C15" s="403" t="s">
        <v>1328</v>
      </c>
      <c r="D15" s="404" t="s">
        <v>1329</v>
      </c>
      <c r="E15" s="405" t="s">
        <v>33</v>
      </c>
      <c r="F15" s="406">
        <v>41537</v>
      </c>
      <c r="G15" s="407">
        <v>41689</v>
      </c>
      <c r="H15" s="407">
        <v>41694</v>
      </c>
      <c r="I15" s="178">
        <v>268197.03000000003</v>
      </c>
      <c r="J15" s="178"/>
      <c r="K15" s="178"/>
      <c r="L15" s="415"/>
      <c r="M15" s="411"/>
      <c r="O15" s="400">
        <f t="shared" si="0"/>
        <v>0</v>
      </c>
      <c r="U15" s="401" t="s">
        <v>37</v>
      </c>
    </row>
    <row r="16" spans="1:21" s="399" customFormat="1" ht="12.6" thickBot="1">
      <c r="A16" s="402" t="s">
        <v>1341</v>
      </c>
      <c r="B16" s="171" t="s">
        <v>28</v>
      </c>
      <c r="C16" s="403" t="s">
        <v>1328</v>
      </c>
      <c r="D16" s="404" t="s">
        <v>1329</v>
      </c>
      <c r="E16" s="405" t="s">
        <v>33</v>
      </c>
      <c r="F16" s="406">
        <v>41537</v>
      </c>
      <c r="G16" s="407">
        <v>41712</v>
      </c>
      <c r="H16" s="407">
        <v>41724</v>
      </c>
      <c r="I16" s="408">
        <v>29000</v>
      </c>
      <c r="J16" s="409">
        <f>+I16+I15</f>
        <v>297197.03000000003</v>
      </c>
      <c r="K16" s="409">
        <v>190300</v>
      </c>
      <c r="L16" s="410">
        <f>+J16-K16</f>
        <v>106897.03000000003</v>
      </c>
      <c r="M16" s="411"/>
      <c r="O16" s="400">
        <f t="shared" si="0"/>
        <v>0</v>
      </c>
      <c r="U16" s="401" t="s">
        <v>42</v>
      </c>
    </row>
    <row r="17" spans="1:21" s="399" customFormat="1" ht="12">
      <c r="A17" s="416" t="s">
        <v>29</v>
      </c>
      <c r="B17" s="171" t="s">
        <v>30</v>
      </c>
      <c r="C17" s="403" t="s">
        <v>31</v>
      </c>
      <c r="D17" s="404" t="s">
        <v>32</v>
      </c>
      <c r="E17" s="405" t="s">
        <v>33</v>
      </c>
      <c r="F17" s="417">
        <v>41287</v>
      </c>
      <c r="G17" s="418">
        <v>41324</v>
      </c>
      <c r="H17" s="418">
        <v>41326</v>
      </c>
      <c r="I17" s="419">
        <v>97918.29</v>
      </c>
      <c r="J17" s="420"/>
      <c r="K17" s="420"/>
      <c r="L17" s="419"/>
      <c r="M17" s="421"/>
      <c r="O17" s="400">
        <f t="shared" si="0"/>
        <v>0</v>
      </c>
      <c r="U17" s="401" t="s">
        <v>46</v>
      </c>
    </row>
    <row r="18" spans="1:21" s="399" customFormat="1" ht="12.6" thickBot="1">
      <c r="A18" s="416" t="s">
        <v>34</v>
      </c>
      <c r="B18" s="422" t="s">
        <v>28</v>
      </c>
      <c r="C18" s="403" t="s">
        <v>31</v>
      </c>
      <c r="D18" s="404" t="s">
        <v>32</v>
      </c>
      <c r="E18" s="405" t="s">
        <v>33</v>
      </c>
      <c r="F18" s="417">
        <v>41287</v>
      </c>
      <c r="G18" s="418">
        <v>41324</v>
      </c>
      <c r="H18" s="418">
        <v>41326</v>
      </c>
      <c r="I18" s="423">
        <v>290842.71999999997</v>
      </c>
      <c r="J18" s="424">
        <f>+I18+I17</f>
        <v>388761.00999999995</v>
      </c>
      <c r="K18" s="409">
        <v>190300</v>
      </c>
      <c r="L18" s="410">
        <f>+J18-K18</f>
        <v>198461.00999999995</v>
      </c>
      <c r="M18" s="421"/>
      <c r="O18" s="400">
        <f t="shared" si="0"/>
        <v>0</v>
      </c>
      <c r="U18" s="401" t="s">
        <v>53</v>
      </c>
    </row>
    <row r="19" spans="1:21" s="399" customFormat="1" ht="12">
      <c r="A19" s="402" t="s">
        <v>35</v>
      </c>
      <c r="B19" s="171" t="s">
        <v>36</v>
      </c>
      <c r="C19" s="403" t="s">
        <v>37</v>
      </c>
      <c r="D19" s="404" t="s">
        <v>38</v>
      </c>
      <c r="E19" s="405" t="s">
        <v>33</v>
      </c>
      <c r="F19" s="406">
        <v>41309</v>
      </c>
      <c r="G19" s="407">
        <v>41403</v>
      </c>
      <c r="H19" s="407">
        <v>41407</v>
      </c>
      <c r="I19" s="413">
        <v>325000</v>
      </c>
      <c r="J19" s="413"/>
      <c r="K19" s="413"/>
      <c r="L19" s="414"/>
      <c r="M19" s="411"/>
      <c r="O19" s="400">
        <f t="shared" si="0"/>
        <v>0</v>
      </c>
      <c r="U19" s="401" t="s">
        <v>58</v>
      </c>
    </row>
    <row r="20" spans="1:21" s="399" customFormat="1" ht="12">
      <c r="A20" s="402" t="s">
        <v>39</v>
      </c>
      <c r="B20" s="422" t="s">
        <v>28</v>
      </c>
      <c r="C20" s="403" t="s">
        <v>37</v>
      </c>
      <c r="D20" s="404" t="s">
        <v>38</v>
      </c>
      <c r="E20" s="405" t="s">
        <v>33</v>
      </c>
      <c r="F20" s="406">
        <v>41309</v>
      </c>
      <c r="G20" s="407">
        <v>41389</v>
      </c>
      <c r="H20" s="407">
        <v>41390</v>
      </c>
      <c r="I20" s="178">
        <v>75000</v>
      </c>
      <c r="J20" s="178"/>
      <c r="K20" s="178"/>
      <c r="L20" s="415"/>
      <c r="M20" s="411"/>
      <c r="O20" s="400">
        <f t="shared" si="0"/>
        <v>0</v>
      </c>
      <c r="U20" s="401" t="s">
        <v>62</v>
      </c>
    </row>
    <row r="21" spans="1:21" s="399" customFormat="1" ht="12">
      <c r="A21" s="402" t="s">
        <v>40</v>
      </c>
      <c r="B21" s="171" t="s">
        <v>30</v>
      </c>
      <c r="C21" s="403" t="s">
        <v>37</v>
      </c>
      <c r="D21" s="404" t="s">
        <v>38</v>
      </c>
      <c r="E21" s="405" t="s">
        <v>33</v>
      </c>
      <c r="F21" s="406">
        <v>41309</v>
      </c>
      <c r="G21" s="407">
        <v>41389</v>
      </c>
      <c r="H21" s="407">
        <v>41390</v>
      </c>
      <c r="I21" s="178">
        <v>29100</v>
      </c>
      <c r="J21" s="178">
        <f>SUM(I19:I21)</f>
        <v>429100</v>
      </c>
      <c r="K21" s="178">
        <v>190300</v>
      </c>
      <c r="L21" s="415">
        <f>+J21-K21</f>
        <v>238800</v>
      </c>
      <c r="M21" s="411"/>
      <c r="O21" s="400">
        <f t="shared" si="0"/>
        <v>0</v>
      </c>
      <c r="U21" s="401" t="s">
        <v>64</v>
      </c>
    </row>
    <row r="22" spans="1:21" s="399" customFormat="1" ht="12">
      <c r="A22" s="402" t="s">
        <v>41</v>
      </c>
      <c r="B22" s="171" t="s">
        <v>30</v>
      </c>
      <c r="C22" s="403" t="s">
        <v>42</v>
      </c>
      <c r="D22" s="404" t="s">
        <v>43</v>
      </c>
      <c r="E22" s="405" t="s">
        <v>33</v>
      </c>
      <c r="F22" s="406">
        <v>41603</v>
      </c>
      <c r="G22" s="407">
        <v>41619</v>
      </c>
      <c r="H22" s="407">
        <v>41620</v>
      </c>
      <c r="I22" s="413">
        <v>103000</v>
      </c>
      <c r="J22" s="413"/>
      <c r="K22" s="413"/>
      <c r="L22" s="414"/>
      <c r="M22" s="411"/>
      <c r="O22" s="400">
        <f t="shared" si="0"/>
        <v>0</v>
      </c>
      <c r="U22" s="401" t="s">
        <v>68</v>
      </c>
    </row>
    <row r="23" spans="1:21" s="399" customFormat="1" ht="12.6" thickBot="1">
      <c r="A23" s="402" t="s">
        <v>44</v>
      </c>
      <c r="B23" s="422" t="s">
        <v>28</v>
      </c>
      <c r="C23" s="403" t="s">
        <v>42</v>
      </c>
      <c r="D23" s="404" t="s">
        <v>43</v>
      </c>
      <c r="E23" s="405" t="s">
        <v>33</v>
      </c>
      <c r="F23" s="406">
        <v>41603</v>
      </c>
      <c r="G23" s="407">
        <v>41619</v>
      </c>
      <c r="H23" s="407">
        <v>41620</v>
      </c>
      <c r="I23" s="408">
        <v>589725.66</v>
      </c>
      <c r="J23" s="409">
        <f>+I23+I22</f>
        <v>692725.66</v>
      </c>
      <c r="K23" s="409">
        <v>190300</v>
      </c>
      <c r="L23" s="410">
        <f>+J23-K23</f>
        <v>502425.66000000003</v>
      </c>
      <c r="M23" s="411"/>
      <c r="O23" s="400">
        <f t="shared" si="0"/>
        <v>0</v>
      </c>
      <c r="U23" s="401" t="s">
        <v>72</v>
      </c>
    </row>
    <row r="24" spans="1:21" s="399" customFormat="1" ht="12.6" thickBot="1">
      <c r="A24" s="402" t="s">
        <v>45</v>
      </c>
      <c r="B24" s="422" t="s">
        <v>28</v>
      </c>
      <c r="C24" s="403" t="s">
        <v>46</v>
      </c>
      <c r="D24" s="404" t="s">
        <v>38</v>
      </c>
      <c r="E24" s="405" t="s">
        <v>33</v>
      </c>
      <c r="F24" s="406">
        <v>41395</v>
      </c>
      <c r="G24" s="407">
        <v>41464</v>
      </c>
      <c r="H24" s="407">
        <v>41467</v>
      </c>
      <c r="I24" s="408">
        <v>302616.7</v>
      </c>
      <c r="J24" s="409"/>
      <c r="K24" s="409"/>
      <c r="L24" s="410"/>
      <c r="M24" s="411"/>
      <c r="O24" s="400">
        <f t="shared" si="0"/>
        <v>0</v>
      </c>
      <c r="U24" s="401" t="s">
        <v>74</v>
      </c>
    </row>
    <row r="25" spans="1:21" s="399" customFormat="1" ht="12">
      <c r="A25" s="402" t="s">
        <v>47</v>
      </c>
      <c r="B25" s="171" t="s">
        <v>23</v>
      </c>
      <c r="C25" s="403" t="s">
        <v>46</v>
      </c>
      <c r="D25" s="404" t="s">
        <v>38</v>
      </c>
      <c r="E25" s="405" t="s">
        <v>33</v>
      </c>
      <c r="F25" s="406">
        <v>41395</v>
      </c>
      <c r="G25" s="407">
        <v>41432</v>
      </c>
      <c r="H25" s="407">
        <v>41437</v>
      </c>
      <c r="I25" s="413">
        <v>12675.83</v>
      </c>
      <c r="J25" s="413"/>
      <c r="K25" s="413"/>
      <c r="L25" s="414"/>
      <c r="M25" s="411"/>
      <c r="O25" s="400">
        <f t="shared" si="0"/>
        <v>0</v>
      </c>
      <c r="U25" s="401" t="s">
        <v>77</v>
      </c>
    </row>
    <row r="26" spans="1:21" s="399" customFormat="1" ht="12">
      <c r="A26" s="402" t="s">
        <v>48</v>
      </c>
      <c r="B26" s="422" t="s">
        <v>28</v>
      </c>
      <c r="C26" s="403" t="s">
        <v>46</v>
      </c>
      <c r="D26" s="404" t="s">
        <v>38</v>
      </c>
      <c r="E26" s="405" t="s">
        <v>33</v>
      </c>
      <c r="F26" s="406">
        <v>41395</v>
      </c>
      <c r="G26" s="407">
        <v>41432</v>
      </c>
      <c r="H26" s="407">
        <v>41437</v>
      </c>
      <c r="I26" s="178">
        <v>30555.54</v>
      </c>
      <c r="J26" s="178"/>
      <c r="K26" s="178"/>
      <c r="L26" s="415"/>
      <c r="M26" s="411"/>
      <c r="O26" s="400">
        <f t="shared" si="0"/>
        <v>0</v>
      </c>
      <c r="U26" s="401" t="s">
        <v>1366</v>
      </c>
    </row>
    <row r="27" spans="1:21" s="399" customFormat="1" ht="12.6" thickBot="1">
      <c r="A27" s="402" t="s">
        <v>49</v>
      </c>
      <c r="B27" s="171" t="s">
        <v>50</v>
      </c>
      <c r="C27" s="403" t="s">
        <v>46</v>
      </c>
      <c r="D27" s="404" t="s">
        <v>38</v>
      </c>
      <c r="E27" s="405" t="s">
        <v>33</v>
      </c>
      <c r="F27" s="406">
        <v>41395</v>
      </c>
      <c r="G27" s="407">
        <v>41432</v>
      </c>
      <c r="H27" s="407">
        <v>41437</v>
      </c>
      <c r="I27" s="408">
        <v>5000</v>
      </c>
      <c r="J27" s="409"/>
      <c r="K27" s="409"/>
      <c r="L27" s="410"/>
      <c r="M27" s="411"/>
      <c r="O27" s="400">
        <f t="shared" si="0"/>
        <v>0</v>
      </c>
      <c r="U27" s="401" t="s">
        <v>80</v>
      </c>
    </row>
    <row r="28" spans="1:21" s="399" customFormat="1" ht="12">
      <c r="A28" s="402" t="s">
        <v>51</v>
      </c>
      <c r="B28" s="171" t="s">
        <v>50</v>
      </c>
      <c r="C28" s="403" t="s">
        <v>46</v>
      </c>
      <c r="D28" s="404" t="s">
        <v>38</v>
      </c>
      <c r="E28" s="405" t="s">
        <v>33</v>
      </c>
      <c r="F28" s="406">
        <v>41395</v>
      </c>
      <c r="G28" s="407">
        <v>41432</v>
      </c>
      <c r="H28" s="407">
        <v>41437</v>
      </c>
      <c r="I28" s="413">
        <v>5000</v>
      </c>
      <c r="J28" s="413">
        <f>SUM(I24:I28)</f>
        <v>355848.07</v>
      </c>
      <c r="K28" s="413">
        <v>190300</v>
      </c>
      <c r="L28" s="414">
        <f>+J28-K28</f>
        <v>165548.07</v>
      </c>
      <c r="M28" s="411"/>
      <c r="O28" s="400">
        <f t="shared" si="0"/>
        <v>0</v>
      </c>
      <c r="U28" s="401" t="s">
        <v>1354</v>
      </c>
    </row>
    <row r="29" spans="1:21" s="399" customFormat="1" ht="12.6" thickBot="1">
      <c r="A29" s="402" t="s">
        <v>52</v>
      </c>
      <c r="B29" s="171" t="s">
        <v>23</v>
      </c>
      <c r="C29" s="403" t="s">
        <v>53</v>
      </c>
      <c r="D29" s="404" t="s">
        <v>54</v>
      </c>
      <c r="E29" s="405" t="s">
        <v>55</v>
      </c>
      <c r="F29" s="406">
        <v>41531</v>
      </c>
      <c r="G29" s="407">
        <v>41603</v>
      </c>
      <c r="H29" s="407">
        <v>41604</v>
      </c>
      <c r="I29" s="408">
        <v>190314.77</v>
      </c>
      <c r="J29" s="409"/>
      <c r="K29" s="409"/>
      <c r="L29" s="410"/>
      <c r="M29" s="411"/>
      <c r="O29" s="400">
        <f t="shared" si="0"/>
        <v>0</v>
      </c>
      <c r="U29" s="401" t="s">
        <v>83</v>
      </c>
    </row>
    <row r="30" spans="1:21" s="399" customFormat="1" ht="12.6" thickBot="1">
      <c r="A30" s="402" t="s">
        <v>56</v>
      </c>
      <c r="B30" s="422" t="s">
        <v>28</v>
      </c>
      <c r="C30" s="403" t="s">
        <v>53</v>
      </c>
      <c r="D30" s="404" t="s">
        <v>54</v>
      </c>
      <c r="E30" s="405" t="s">
        <v>33</v>
      </c>
      <c r="F30" s="406">
        <v>41531</v>
      </c>
      <c r="G30" s="407">
        <v>41603</v>
      </c>
      <c r="H30" s="407">
        <v>41604</v>
      </c>
      <c r="I30" s="408">
        <v>21040.84</v>
      </c>
      <c r="J30" s="409">
        <f>+I30+I29</f>
        <v>211355.61</v>
      </c>
      <c r="K30" s="409">
        <v>190300</v>
      </c>
      <c r="L30" s="410">
        <f>+J30-K30</f>
        <v>21055.609999999986</v>
      </c>
      <c r="M30" s="411"/>
      <c r="O30" s="400">
        <f t="shared" si="0"/>
        <v>0</v>
      </c>
      <c r="U30" s="401" t="s">
        <v>87</v>
      </c>
    </row>
    <row r="31" spans="1:21" s="399" customFormat="1" ht="12">
      <c r="A31" s="416" t="s">
        <v>57</v>
      </c>
      <c r="B31" s="422" t="s">
        <v>28</v>
      </c>
      <c r="C31" s="403" t="s">
        <v>58</v>
      </c>
      <c r="D31" s="404" t="s">
        <v>59</v>
      </c>
      <c r="E31" s="405" t="s">
        <v>33</v>
      </c>
      <c r="F31" s="417">
        <v>41290</v>
      </c>
      <c r="G31" s="418">
        <v>41323</v>
      </c>
      <c r="H31" s="418">
        <v>41324</v>
      </c>
      <c r="I31" s="419">
        <v>200000</v>
      </c>
      <c r="J31" s="419"/>
      <c r="K31" s="419"/>
      <c r="L31" s="414"/>
      <c r="M31" s="421"/>
      <c r="O31" s="400">
        <f t="shared" si="0"/>
        <v>0</v>
      </c>
      <c r="U31" s="401" t="s">
        <v>90</v>
      </c>
    </row>
    <row r="32" spans="1:21" s="399" customFormat="1" ht="12.6" thickBot="1">
      <c r="A32" s="190" t="s">
        <v>60</v>
      </c>
      <c r="B32" s="422" t="s">
        <v>30</v>
      </c>
      <c r="C32" s="403" t="s">
        <v>58</v>
      </c>
      <c r="D32" s="425" t="s">
        <v>59</v>
      </c>
      <c r="E32" s="426" t="s">
        <v>33</v>
      </c>
      <c r="F32" s="417">
        <v>41290</v>
      </c>
      <c r="G32" s="418">
        <v>41323</v>
      </c>
      <c r="H32" s="418">
        <v>41324</v>
      </c>
      <c r="I32" s="423">
        <v>53000</v>
      </c>
      <c r="J32" s="424">
        <f>+I32+I31</f>
        <v>253000</v>
      </c>
      <c r="K32" s="409">
        <v>190300</v>
      </c>
      <c r="L32" s="410">
        <f>+J32-K32</f>
        <v>62700</v>
      </c>
      <c r="M32" s="421"/>
      <c r="O32" s="400">
        <f t="shared" si="0"/>
        <v>0</v>
      </c>
      <c r="U32" s="401" t="s">
        <v>95</v>
      </c>
    </row>
    <row r="33" spans="1:21" s="399" customFormat="1" ht="12">
      <c r="A33" s="402" t="s">
        <v>61</v>
      </c>
      <c r="B33" s="422" t="s">
        <v>28</v>
      </c>
      <c r="C33" s="403" t="s">
        <v>62</v>
      </c>
      <c r="D33" s="404" t="s">
        <v>38</v>
      </c>
      <c r="E33" s="405" t="s">
        <v>33</v>
      </c>
      <c r="F33" s="406">
        <v>41477</v>
      </c>
      <c r="G33" s="407">
        <v>41521</v>
      </c>
      <c r="H33" s="407">
        <v>41527</v>
      </c>
      <c r="I33" s="413">
        <v>239355.24</v>
      </c>
      <c r="J33" s="413">
        <f>+I33</f>
        <v>239355.24</v>
      </c>
      <c r="K33" s="413">
        <v>190300</v>
      </c>
      <c r="L33" s="414">
        <f>+J33-K33</f>
        <v>49055.239999999991</v>
      </c>
      <c r="M33" s="411"/>
      <c r="O33" s="400">
        <f t="shared" si="0"/>
        <v>0</v>
      </c>
      <c r="U33" s="401" t="s">
        <v>99</v>
      </c>
    </row>
    <row r="34" spans="1:21" s="399" customFormat="1" ht="12.6" thickBot="1">
      <c r="A34" s="402" t="s">
        <v>63</v>
      </c>
      <c r="B34" s="171" t="s">
        <v>30</v>
      </c>
      <c r="C34" s="403" t="s">
        <v>64</v>
      </c>
      <c r="D34" s="404" t="s">
        <v>38</v>
      </c>
      <c r="E34" s="405" t="s">
        <v>33</v>
      </c>
      <c r="F34" s="406">
        <v>41436</v>
      </c>
      <c r="G34" s="407">
        <v>41506</v>
      </c>
      <c r="H34" s="407">
        <v>41507</v>
      </c>
      <c r="I34" s="408">
        <v>13249.47</v>
      </c>
      <c r="J34" s="409"/>
      <c r="K34" s="409"/>
      <c r="L34" s="410"/>
      <c r="M34" s="411"/>
      <c r="O34" s="400">
        <f t="shared" si="0"/>
        <v>0</v>
      </c>
      <c r="U34" s="401" t="s">
        <v>1355</v>
      </c>
    </row>
    <row r="35" spans="1:21" s="399" customFormat="1" ht="12">
      <c r="A35" s="402" t="s">
        <v>65</v>
      </c>
      <c r="B35" s="422" t="s">
        <v>28</v>
      </c>
      <c r="C35" s="403" t="s">
        <v>64</v>
      </c>
      <c r="D35" s="404" t="s">
        <v>38</v>
      </c>
      <c r="E35" s="405" t="s">
        <v>33</v>
      </c>
      <c r="F35" s="406">
        <v>41436</v>
      </c>
      <c r="G35" s="407">
        <v>41506</v>
      </c>
      <c r="H35" s="407">
        <v>41507</v>
      </c>
      <c r="I35" s="413">
        <v>119504.87</v>
      </c>
      <c r="J35" s="413"/>
      <c r="K35" s="413"/>
      <c r="L35" s="414"/>
      <c r="M35" s="411"/>
      <c r="O35" s="400">
        <f t="shared" si="0"/>
        <v>0</v>
      </c>
      <c r="U35" s="401" t="s">
        <v>103</v>
      </c>
    </row>
    <row r="36" spans="1:21" s="399" customFormat="1" ht="12.6" thickBot="1">
      <c r="A36" s="402" t="s">
        <v>66</v>
      </c>
      <c r="B36" s="422" t="s">
        <v>28</v>
      </c>
      <c r="C36" s="403" t="s">
        <v>64</v>
      </c>
      <c r="D36" s="404" t="s">
        <v>38</v>
      </c>
      <c r="E36" s="405" t="s">
        <v>33</v>
      </c>
      <c r="F36" s="406">
        <v>41436</v>
      </c>
      <c r="G36" s="407">
        <v>41513</v>
      </c>
      <c r="H36" s="407">
        <v>41514</v>
      </c>
      <c r="I36" s="408">
        <v>134767.16</v>
      </c>
      <c r="J36" s="409">
        <f>SUM(I34:I36)</f>
        <v>267521.5</v>
      </c>
      <c r="K36" s="409">
        <v>190300</v>
      </c>
      <c r="L36" s="410">
        <f>+J36-K36</f>
        <v>77221.5</v>
      </c>
      <c r="M36" s="411"/>
      <c r="O36" s="400">
        <f t="shared" si="0"/>
        <v>0</v>
      </c>
      <c r="U36" s="401" t="s">
        <v>108</v>
      </c>
    </row>
    <row r="37" spans="1:21" s="399" customFormat="1" ht="12">
      <c r="A37" s="402" t="s">
        <v>67</v>
      </c>
      <c r="B37" s="171" t="s">
        <v>30</v>
      </c>
      <c r="C37" s="403" t="s">
        <v>68</v>
      </c>
      <c r="D37" s="404" t="s">
        <v>69</v>
      </c>
      <c r="E37" s="405" t="s">
        <v>33</v>
      </c>
      <c r="F37" s="406">
        <v>41586</v>
      </c>
      <c r="G37" s="407">
        <v>41621</v>
      </c>
      <c r="H37" s="407">
        <v>41624</v>
      </c>
      <c r="I37" s="413">
        <v>54292.77</v>
      </c>
      <c r="J37" s="413"/>
      <c r="K37" s="413"/>
      <c r="L37" s="414"/>
      <c r="M37" s="411"/>
      <c r="O37" s="400">
        <f t="shared" si="0"/>
        <v>0</v>
      </c>
      <c r="U37" s="401" t="s">
        <v>111</v>
      </c>
    </row>
    <row r="38" spans="1:21" s="399" customFormat="1" ht="12.6" thickBot="1">
      <c r="A38" s="402" t="s">
        <v>70</v>
      </c>
      <c r="B38" s="422" t="s">
        <v>28</v>
      </c>
      <c r="C38" s="403" t="s">
        <v>68</v>
      </c>
      <c r="D38" s="404" t="s">
        <v>69</v>
      </c>
      <c r="E38" s="405" t="s">
        <v>33</v>
      </c>
      <c r="F38" s="406">
        <v>41586</v>
      </c>
      <c r="G38" s="407">
        <v>41621</v>
      </c>
      <c r="H38" s="407">
        <v>41624</v>
      </c>
      <c r="I38" s="408">
        <v>181514.87</v>
      </c>
      <c r="J38" s="409">
        <f>+I38+I37</f>
        <v>235807.63999999998</v>
      </c>
      <c r="K38" s="409">
        <v>190300</v>
      </c>
      <c r="L38" s="410">
        <f>+J38-K38</f>
        <v>45507.639999999985</v>
      </c>
      <c r="M38" s="411"/>
      <c r="O38" s="400">
        <f t="shared" si="0"/>
        <v>0</v>
      </c>
      <c r="U38" s="401" t="s">
        <v>114</v>
      </c>
    </row>
    <row r="39" spans="1:21" s="399" customFormat="1" ht="12.6" thickBot="1">
      <c r="A39" s="402" t="s">
        <v>71</v>
      </c>
      <c r="B39" s="422" t="s">
        <v>28</v>
      </c>
      <c r="C39" s="403" t="s">
        <v>72</v>
      </c>
      <c r="D39" s="404" t="s">
        <v>38</v>
      </c>
      <c r="E39" s="405" t="s">
        <v>33</v>
      </c>
      <c r="F39" s="406">
        <v>41486</v>
      </c>
      <c r="G39" s="407">
        <v>41555</v>
      </c>
      <c r="H39" s="407">
        <v>41591</v>
      </c>
      <c r="I39" s="413">
        <v>2422160.66</v>
      </c>
      <c r="J39" s="413">
        <f>+I39</f>
        <v>2422160.66</v>
      </c>
      <c r="K39" s="409">
        <v>190300</v>
      </c>
      <c r="L39" s="414">
        <f>+J39-K39</f>
        <v>2231860.66</v>
      </c>
      <c r="M39" s="411"/>
      <c r="O39" s="400">
        <f t="shared" si="0"/>
        <v>1700456.6600000001</v>
      </c>
      <c r="U39" s="401" t="s">
        <v>118</v>
      </c>
    </row>
    <row r="40" spans="1:21" s="399" customFormat="1" ht="12.6" thickBot="1">
      <c r="A40" s="402" t="s">
        <v>73</v>
      </c>
      <c r="B40" s="171" t="s">
        <v>23</v>
      </c>
      <c r="C40" s="403" t="s">
        <v>74</v>
      </c>
      <c r="D40" s="404" t="s">
        <v>38</v>
      </c>
      <c r="E40" s="405" t="s">
        <v>33</v>
      </c>
      <c r="F40" s="406">
        <v>41428</v>
      </c>
      <c r="G40" s="407">
        <v>41488</v>
      </c>
      <c r="H40" s="407">
        <v>41522</v>
      </c>
      <c r="I40" s="408">
        <v>14417.08</v>
      </c>
      <c r="J40" s="409"/>
      <c r="K40" s="409"/>
      <c r="L40" s="410"/>
      <c r="M40" s="411"/>
      <c r="O40" s="400">
        <f t="shared" si="0"/>
        <v>0</v>
      </c>
      <c r="U40" s="401" t="s">
        <v>1384</v>
      </c>
    </row>
    <row r="41" spans="1:21" s="399" customFormat="1" ht="12">
      <c r="A41" s="402" t="s">
        <v>75</v>
      </c>
      <c r="B41" s="422" t="s">
        <v>28</v>
      </c>
      <c r="C41" s="403" t="s">
        <v>74</v>
      </c>
      <c r="D41" s="404" t="s">
        <v>38</v>
      </c>
      <c r="E41" s="405" t="s">
        <v>33</v>
      </c>
      <c r="F41" s="406">
        <v>41428</v>
      </c>
      <c r="G41" s="407">
        <v>41488</v>
      </c>
      <c r="H41" s="407">
        <v>41522</v>
      </c>
      <c r="I41" s="413">
        <v>187342.92</v>
      </c>
      <c r="J41" s="413">
        <f>+I41+I40</f>
        <v>201760</v>
      </c>
      <c r="K41" s="413">
        <v>190300</v>
      </c>
      <c r="L41" s="414">
        <f>+J41-K41</f>
        <v>11460</v>
      </c>
      <c r="M41" s="411"/>
      <c r="O41" s="400">
        <f t="shared" si="0"/>
        <v>0</v>
      </c>
      <c r="U41" s="401" t="s">
        <v>1373</v>
      </c>
    </row>
    <row r="42" spans="1:21" s="399" customFormat="1" ht="12.6" thickBot="1">
      <c r="A42" s="190" t="s">
        <v>76</v>
      </c>
      <c r="B42" s="422" t="s">
        <v>30</v>
      </c>
      <c r="C42" s="403" t="s">
        <v>77</v>
      </c>
      <c r="D42" s="425" t="s">
        <v>59</v>
      </c>
      <c r="E42" s="426" t="s">
        <v>33</v>
      </c>
      <c r="F42" s="417">
        <v>41280</v>
      </c>
      <c r="G42" s="418">
        <v>41324</v>
      </c>
      <c r="H42" s="418">
        <v>41326</v>
      </c>
      <c r="I42" s="423">
        <v>31898.23</v>
      </c>
      <c r="J42" s="424"/>
      <c r="K42" s="424"/>
      <c r="L42" s="410"/>
      <c r="M42" s="421"/>
      <c r="O42" s="400">
        <f t="shared" si="0"/>
        <v>0</v>
      </c>
      <c r="U42" s="401" t="s">
        <v>1345</v>
      </c>
    </row>
    <row r="43" spans="1:21" s="399" customFormat="1" ht="12">
      <c r="A43" s="190" t="s">
        <v>78</v>
      </c>
      <c r="B43" s="422" t="s">
        <v>28</v>
      </c>
      <c r="C43" s="403" t="s">
        <v>77</v>
      </c>
      <c r="D43" s="404" t="s">
        <v>59</v>
      </c>
      <c r="E43" s="405" t="s">
        <v>33</v>
      </c>
      <c r="F43" s="417">
        <v>41280</v>
      </c>
      <c r="G43" s="418">
        <v>41324</v>
      </c>
      <c r="H43" s="418">
        <v>41326</v>
      </c>
      <c r="I43" s="419">
        <v>181636.15</v>
      </c>
      <c r="J43" s="419">
        <f>+I43+I42</f>
        <v>213534.38</v>
      </c>
      <c r="K43" s="413">
        <v>190300</v>
      </c>
      <c r="L43" s="414">
        <f>+J43-K43</f>
        <v>23234.380000000005</v>
      </c>
      <c r="M43" s="411"/>
      <c r="O43" s="400">
        <f t="shared" si="0"/>
        <v>0</v>
      </c>
      <c r="U43" s="401" t="s">
        <v>121</v>
      </c>
    </row>
    <row r="44" spans="1:21" s="399" customFormat="1" ht="12.6" thickBot="1">
      <c r="A44" s="402" t="s">
        <v>1364</v>
      </c>
      <c r="B44" s="171" t="s">
        <v>30</v>
      </c>
      <c r="C44" s="403" t="s">
        <v>1366</v>
      </c>
      <c r="D44" s="404" t="s">
        <v>1367</v>
      </c>
      <c r="E44" s="405" t="s">
        <v>33</v>
      </c>
      <c r="F44" s="406">
        <v>41418</v>
      </c>
      <c r="G44" s="407">
        <v>41816</v>
      </c>
      <c r="H44" s="407">
        <v>41829</v>
      </c>
      <c r="I44" s="408">
        <v>101052.09</v>
      </c>
      <c r="J44" s="409"/>
      <c r="K44" s="409"/>
      <c r="L44" s="410"/>
      <c r="M44" s="411"/>
      <c r="O44" s="400">
        <f t="shared" si="0"/>
        <v>0</v>
      </c>
      <c r="U44" s="401" t="s">
        <v>124</v>
      </c>
    </row>
    <row r="45" spans="1:21" s="399" customFormat="1" ht="12">
      <c r="A45" s="402" t="s">
        <v>1365</v>
      </c>
      <c r="B45" s="171" t="s">
        <v>28</v>
      </c>
      <c r="C45" s="403" t="s">
        <v>1366</v>
      </c>
      <c r="D45" s="404" t="s">
        <v>1367</v>
      </c>
      <c r="E45" s="405" t="s">
        <v>33</v>
      </c>
      <c r="F45" s="406">
        <v>41418</v>
      </c>
      <c r="G45" s="407">
        <v>41816</v>
      </c>
      <c r="H45" s="407">
        <v>41829</v>
      </c>
      <c r="I45" s="413">
        <v>206631.9</v>
      </c>
      <c r="J45" s="413">
        <f>+I45+I44</f>
        <v>307683.99</v>
      </c>
      <c r="K45" s="413">
        <v>190300</v>
      </c>
      <c r="L45" s="414">
        <f>+J45-K45</f>
        <v>117383.98999999999</v>
      </c>
      <c r="M45" s="411"/>
      <c r="O45" s="400">
        <f t="shared" si="0"/>
        <v>0</v>
      </c>
      <c r="U45" s="401" t="s">
        <v>126</v>
      </c>
    </row>
    <row r="46" spans="1:21" s="399" customFormat="1" ht="12.6" thickBot="1">
      <c r="A46" s="402" t="s">
        <v>79</v>
      </c>
      <c r="B46" s="171" t="s">
        <v>30</v>
      </c>
      <c r="C46" s="403" t="s">
        <v>80</v>
      </c>
      <c r="D46" s="404" t="s">
        <v>38</v>
      </c>
      <c r="E46" s="405" t="s">
        <v>33</v>
      </c>
      <c r="F46" s="406">
        <v>41514</v>
      </c>
      <c r="G46" s="407">
        <v>41611</v>
      </c>
      <c r="H46" s="407">
        <v>41614</v>
      </c>
      <c r="I46" s="408">
        <v>1490.8</v>
      </c>
      <c r="J46" s="409"/>
      <c r="K46" s="409"/>
      <c r="L46" s="410"/>
      <c r="M46" s="411"/>
      <c r="O46" s="400">
        <f t="shared" si="0"/>
        <v>0</v>
      </c>
      <c r="U46" s="401" t="s">
        <v>130</v>
      </c>
    </row>
    <row r="47" spans="1:21" s="399" customFormat="1" ht="12">
      <c r="A47" s="402" t="s">
        <v>81</v>
      </c>
      <c r="B47" s="422" t="s">
        <v>28</v>
      </c>
      <c r="C47" s="403" t="s">
        <v>80</v>
      </c>
      <c r="D47" s="404" t="s">
        <v>38</v>
      </c>
      <c r="E47" s="405" t="s">
        <v>33</v>
      </c>
      <c r="F47" s="406">
        <v>41514</v>
      </c>
      <c r="G47" s="407">
        <v>41611</v>
      </c>
      <c r="H47" s="407">
        <v>41614</v>
      </c>
      <c r="I47" s="413">
        <v>200000</v>
      </c>
      <c r="J47" s="413">
        <f>+I47+I46</f>
        <v>201490.8</v>
      </c>
      <c r="K47" s="413">
        <v>190300</v>
      </c>
      <c r="L47" s="414">
        <f>+J47-K47</f>
        <v>11190.799999999988</v>
      </c>
      <c r="M47" s="411"/>
      <c r="O47" s="400">
        <f t="shared" si="0"/>
        <v>0</v>
      </c>
      <c r="U47" s="401" t="s">
        <v>134</v>
      </c>
    </row>
    <row r="48" spans="1:21" s="399" customFormat="1" ht="12.6" thickBot="1">
      <c r="A48" s="402" t="s">
        <v>1351</v>
      </c>
      <c r="B48" s="171" t="s">
        <v>140</v>
      </c>
      <c r="C48" s="403" t="s">
        <v>1354</v>
      </c>
      <c r="D48" s="404" t="s">
        <v>483</v>
      </c>
      <c r="E48" s="405" t="s">
        <v>33</v>
      </c>
      <c r="F48" s="406">
        <v>41627</v>
      </c>
      <c r="G48" s="407">
        <v>41648</v>
      </c>
      <c r="H48" s="407">
        <v>41733</v>
      </c>
      <c r="I48" s="178">
        <v>550000</v>
      </c>
      <c r="J48" s="178">
        <f>+I48</f>
        <v>550000</v>
      </c>
      <c r="K48" s="409">
        <v>190300</v>
      </c>
      <c r="L48" s="415">
        <f>+J48-K48</f>
        <v>359700</v>
      </c>
      <c r="M48" s="411"/>
      <c r="O48" s="400">
        <f t="shared" si="0"/>
        <v>0</v>
      </c>
      <c r="U48" s="401" t="s">
        <v>137</v>
      </c>
    </row>
    <row r="49" spans="1:21" s="399" customFormat="1" ht="12">
      <c r="A49" s="402" t="s">
        <v>82</v>
      </c>
      <c r="B49" s="422" t="s">
        <v>28</v>
      </c>
      <c r="C49" s="403" t="s">
        <v>83</v>
      </c>
      <c r="D49" s="404" t="s">
        <v>84</v>
      </c>
      <c r="E49" s="405" t="s">
        <v>33</v>
      </c>
      <c r="F49" s="406">
        <v>41373</v>
      </c>
      <c r="G49" s="407">
        <v>41457</v>
      </c>
      <c r="H49" s="407">
        <v>41460</v>
      </c>
      <c r="I49" s="178">
        <v>105182.21</v>
      </c>
      <c r="J49" s="178"/>
      <c r="K49" s="178"/>
      <c r="L49" s="415"/>
      <c r="M49" s="411"/>
      <c r="O49" s="400">
        <f t="shared" si="0"/>
        <v>0</v>
      </c>
      <c r="U49" s="401" t="s">
        <v>142</v>
      </c>
    </row>
    <row r="50" spans="1:21" s="399" customFormat="1" ht="12.6" thickBot="1">
      <c r="A50" s="402" t="s">
        <v>85</v>
      </c>
      <c r="B50" s="171" t="s">
        <v>23</v>
      </c>
      <c r="C50" s="403" t="s">
        <v>83</v>
      </c>
      <c r="D50" s="404" t="s">
        <v>84</v>
      </c>
      <c r="E50" s="405" t="s">
        <v>33</v>
      </c>
      <c r="F50" s="406">
        <v>41373</v>
      </c>
      <c r="G50" s="407">
        <v>41457</v>
      </c>
      <c r="H50" s="407">
        <v>41460</v>
      </c>
      <c r="I50" s="408">
        <v>93038.38</v>
      </c>
      <c r="J50" s="409">
        <f>+I50+I49</f>
        <v>198220.59000000003</v>
      </c>
      <c r="K50" s="409">
        <v>190300</v>
      </c>
      <c r="L50" s="410">
        <f>+J50-K50</f>
        <v>7920.5900000000256</v>
      </c>
      <c r="M50" s="411"/>
      <c r="O50" s="400">
        <f t="shared" si="0"/>
        <v>0</v>
      </c>
      <c r="U50" s="401" t="s">
        <v>145</v>
      </c>
    </row>
    <row r="51" spans="1:21" s="399" customFormat="1" ht="12">
      <c r="A51" s="402" t="s">
        <v>86</v>
      </c>
      <c r="B51" s="422" t="s">
        <v>28</v>
      </c>
      <c r="C51" s="403" t="s">
        <v>87</v>
      </c>
      <c r="D51" s="404" t="s">
        <v>59</v>
      </c>
      <c r="E51" s="405" t="s">
        <v>33</v>
      </c>
      <c r="F51" s="406">
        <v>41306</v>
      </c>
      <c r="G51" s="407">
        <v>41414</v>
      </c>
      <c r="H51" s="407">
        <v>41422</v>
      </c>
      <c r="I51" s="413">
        <v>301412.41000000003</v>
      </c>
      <c r="J51" s="413"/>
      <c r="K51" s="413"/>
      <c r="L51" s="414"/>
      <c r="M51" s="411"/>
      <c r="O51" s="400">
        <f t="shared" si="0"/>
        <v>0</v>
      </c>
      <c r="U51" s="401" t="s">
        <v>148</v>
      </c>
    </row>
    <row r="52" spans="1:21" s="399" customFormat="1" ht="12.6" thickBot="1">
      <c r="A52" s="402" t="s">
        <v>88</v>
      </c>
      <c r="B52" s="171" t="s">
        <v>50</v>
      </c>
      <c r="C52" s="403" t="s">
        <v>87</v>
      </c>
      <c r="D52" s="404" t="s">
        <v>59</v>
      </c>
      <c r="E52" s="405" t="s">
        <v>33</v>
      </c>
      <c r="F52" s="406">
        <v>41306</v>
      </c>
      <c r="G52" s="407">
        <v>41414</v>
      </c>
      <c r="H52" s="407">
        <v>41422</v>
      </c>
      <c r="I52" s="408">
        <v>5000</v>
      </c>
      <c r="J52" s="409">
        <f>+I52+I51</f>
        <v>306412.41000000003</v>
      </c>
      <c r="K52" s="409">
        <v>190300</v>
      </c>
      <c r="L52" s="410">
        <f>+J52-K52</f>
        <v>116112.41000000003</v>
      </c>
      <c r="M52" s="411"/>
      <c r="O52" s="400">
        <f t="shared" si="0"/>
        <v>0</v>
      </c>
      <c r="U52" s="401" t="s">
        <v>152</v>
      </c>
    </row>
    <row r="53" spans="1:21" s="399" customFormat="1" ht="12">
      <c r="A53" s="402" t="s">
        <v>89</v>
      </c>
      <c r="B53" s="171" t="s">
        <v>23</v>
      </c>
      <c r="C53" s="403" t="s">
        <v>90</v>
      </c>
      <c r="D53" s="404" t="s">
        <v>91</v>
      </c>
      <c r="E53" s="405" t="s">
        <v>33</v>
      </c>
      <c r="F53" s="406">
        <v>41525</v>
      </c>
      <c r="G53" s="407">
        <v>41593</v>
      </c>
      <c r="H53" s="407">
        <v>41619</v>
      </c>
      <c r="I53" s="413">
        <v>12932.23</v>
      </c>
      <c r="J53" s="413"/>
      <c r="K53" s="413"/>
      <c r="L53" s="414"/>
      <c r="M53" s="411"/>
      <c r="O53" s="400">
        <f t="shared" si="0"/>
        <v>0</v>
      </c>
      <c r="U53" s="401" t="s">
        <v>1380</v>
      </c>
    </row>
    <row r="54" spans="1:21" s="399" customFormat="1" ht="12.6" thickBot="1">
      <c r="A54" s="402" t="s">
        <v>92</v>
      </c>
      <c r="B54" s="171" t="s">
        <v>93</v>
      </c>
      <c r="C54" s="403" t="s">
        <v>90</v>
      </c>
      <c r="D54" s="404" t="s">
        <v>91</v>
      </c>
      <c r="E54" s="405" t="s">
        <v>33</v>
      </c>
      <c r="F54" s="406">
        <v>41525</v>
      </c>
      <c r="G54" s="407">
        <v>41593</v>
      </c>
      <c r="H54" s="407">
        <v>41619</v>
      </c>
      <c r="I54" s="408">
        <v>255000</v>
      </c>
      <c r="J54" s="409">
        <f>+I54+I53</f>
        <v>267932.23</v>
      </c>
      <c r="K54" s="409">
        <v>190300</v>
      </c>
      <c r="L54" s="410">
        <f>+J54-K54</f>
        <v>77632.229999999981</v>
      </c>
      <c r="M54" s="411"/>
      <c r="O54" s="400">
        <f t="shared" si="0"/>
        <v>0</v>
      </c>
      <c r="U54" s="401" t="s">
        <v>1326</v>
      </c>
    </row>
    <row r="55" spans="1:21" s="399" customFormat="1" ht="12">
      <c r="A55" s="190" t="s">
        <v>94</v>
      </c>
      <c r="B55" s="171" t="s">
        <v>30</v>
      </c>
      <c r="C55" s="403" t="s">
        <v>95</v>
      </c>
      <c r="D55" s="404" t="s">
        <v>96</v>
      </c>
      <c r="E55" s="405" t="s">
        <v>33</v>
      </c>
      <c r="F55" s="417">
        <v>41286</v>
      </c>
      <c r="G55" s="418">
        <v>41324</v>
      </c>
      <c r="H55" s="418">
        <v>41326</v>
      </c>
      <c r="I55" s="419">
        <v>53000</v>
      </c>
      <c r="J55" s="419"/>
      <c r="K55" s="419"/>
      <c r="L55" s="414"/>
      <c r="M55" s="411"/>
      <c r="O55" s="400">
        <f t="shared" si="0"/>
        <v>0</v>
      </c>
      <c r="U55" s="401" t="s">
        <v>158</v>
      </c>
    </row>
    <row r="56" spans="1:21" s="399" customFormat="1" ht="12.6" thickBot="1">
      <c r="A56" s="190" t="s">
        <v>97</v>
      </c>
      <c r="B56" s="422" t="s">
        <v>28</v>
      </c>
      <c r="C56" s="403" t="s">
        <v>95</v>
      </c>
      <c r="D56" s="404" t="s">
        <v>96</v>
      </c>
      <c r="E56" s="405" t="s">
        <v>33</v>
      </c>
      <c r="F56" s="417">
        <v>41286</v>
      </c>
      <c r="G56" s="418">
        <v>41324</v>
      </c>
      <c r="H56" s="418">
        <v>41326</v>
      </c>
      <c r="I56" s="423">
        <v>200000</v>
      </c>
      <c r="J56" s="424">
        <f>+I56+I55</f>
        <v>253000</v>
      </c>
      <c r="K56" s="409">
        <v>190300</v>
      </c>
      <c r="L56" s="410">
        <f>+J56-K56</f>
        <v>62700</v>
      </c>
      <c r="M56" s="411"/>
      <c r="O56" s="400">
        <f t="shared" si="0"/>
        <v>0</v>
      </c>
      <c r="U56" s="401" t="s">
        <v>161</v>
      </c>
    </row>
    <row r="57" spans="1:21" s="399" customFormat="1" ht="12">
      <c r="A57" s="402" t="s">
        <v>98</v>
      </c>
      <c r="B57" s="171" t="s">
        <v>30</v>
      </c>
      <c r="C57" s="403" t="s">
        <v>99</v>
      </c>
      <c r="D57" s="404" t="s">
        <v>100</v>
      </c>
      <c r="E57" s="405" t="s">
        <v>33</v>
      </c>
      <c r="F57" s="406">
        <v>41429</v>
      </c>
      <c r="G57" s="407">
        <v>41491</v>
      </c>
      <c r="H57" s="407">
        <v>41494</v>
      </c>
      <c r="I57" s="413">
        <v>53000</v>
      </c>
      <c r="J57" s="413"/>
      <c r="K57" s="413"/>
      <c r="L57" s="414"/>
      <c r="M57" s="411"/>
      <c r="O57" s="400">
        <f t="shared" si="0"/>
        <v>0</v>
      </c>
      <c r="U57" s="401" t="s">
        <v>164</v>
      </c>
    </row>
    <row r="58" spans="1:21" s="399" customFormat="1" ht="12.6" thickBot="1">
      <c r="A58" s="402" t="s">
        <v>101</v>
      </c>
      <c r="B58" s="422" t="s">
        <v>28</v>
      </c>
      <c r="C58" s="403" t="s">
        <v>99</v>
      </c>
      <c r="D58" s="404" t="s">
        <v>100</v>
      </c>
      <c r="E58" s="405" t="s">
        <v>33</v>
      </c>
      <c r="F58" s="406">
        <v>41429</v>
      </c>
      <c r="G58" s="407">
        <v>41491</v>
      </c>
      <c r="H58" s="407">
        <v>41494</v>
      </c>
      <c r="I58" s="408">
        <v>200000</v>
      </c>
      <c r="J58" s="409">
        <f>+I58+I57</f>
        <v>253000</v>
      </c>
      <c r="K58" s="409">
        <v>190300</v>
      </c>
      <c r="L58" s="410">
        <f>+J58-K58</f>
        <v>62700</v>
      </c>
      <c r="M58" s="411"/>
      <c r="O58" s="400">
        <f t="shared" si="0"/>
        <v>0</v>
      </c>
      <c r="U58" s="401" t="s">
        <v>1361</v>
      </c>
    </row>
    <row r="59" spans="1:21" s="399" customFormat="1" ht="12">
      <c r="A59" s="402" t="s">
        <v>1352</v>
      </c>
      <c r="B59" s="171" t="s">
        <v>30</v>
      </c>
      <c r="C59" s="403" t="s">
        <v>1355</v>
      </c>
      <c r="D59" s="404" t="s">
        <v>38</v>
      </c>
      <c r="E59" s="405" t="s">
        <v>33</v>
      </c>
      <c r="F59" s="406">
        <v>41632</v>
      </c>
      <c r="G59" s="407">
        <v>41724</v>
      </c>
      <c r="H59" s="407">
        <v>41726</v>
      </c>
      <c r="I59" s="413">
        <v>535.78</v>
      </c>
      <c r="J59" s="413"/>
      <c r="K59" s="413"/>
      <c r="L59" s="414"/>
      <c r="M59" s="411"/>
      <c r="O59" s="400">
        <f t="shared" si="0"/>
        <v>0</v>
      </c>
      <c r="U59" s="401" t="s">
        <v>1349</v>
      </c>
    </row>
    <row r="60" spans="1:21" s="399" customFormat="1" ht="12.6" thickBot="1">
      <c r="A60" s="402" t="s">
        <v>1353</v>
      </c>
      <c r="B60" s="171" t="s">
        <v>28</v>
      </c>
      <c r="C60" s="403" t="s">
        <v>1355</v>
      </c>
      <c r="D60" s="404" t="s">
        <v>38</v>
      </c>
      <c r="E60" s="405" t="s">
        <v>33</v>
      </c>
      <c r="F60" s="406">
        <v>41632</v>
      </c>
      <c r="G60" s="407">
        <v>41724</v>
      </c>
      <c r="H60" s="407">
        <v>41733</v>
      </c>
      <c r="I60" s="408">
        <v>198949.85</v>
      </c>
      <c r="J60" s="409">
        <f>+I60+I59</f>
        <v>199485.63</v>
      </c>
      <c r="K60" s="409">
        <v>190300</v>
      </c>
      <c r="L60" s="410">
        <f>+J60-K60</f>
        <v>9185.6300000000047</v>
      </c>
      <c r="M60" s="411"/>
      <c r="O60" s="400">
        <f t="shared" si="0"/>
        <v>0</v>
      </c>
      <c r="U60" s="401" t="s">
        <v>168</v>
      </c>
    </row>
    <row r="61" spans="1:21" s="399" customFormat="1" ht="12.6" thickBot="1">
      <c r="A61" s="402" t="s">
        <v>102</v>
      </c>
      <c r="B61" s="171" t="s">
        <v>50</v>
      </c>
      <c r="C61" s="403" t="s">
        <v>103</v>
      </c>
      <c r="D61" s="404" t="s">
        <v>25</v>
      </c>
      <c r="E61" s="405" t="s">
        <v>26</v>
      </c>
      <c r="F61" s="406">
        <v>41582</v>
      </c>
      <c r="G61" s="407">
        <v>41619</v>
      </c>
      <c r="H61" s="407">
        <v>41626</v>
      </c>
      <c r="I61" s="408">
        <v>20000</v>
      </c>
      <c r="J61" s="409"/>
      <c r="K61" s="409"/>
      <c r="L61" s="410"/>
      <c r="M61" s="411"/>
      <c r="O61" s="400">
        <f t="shared" si="0"/>
        <v>0</v>
      </c>
      <c r="U61" s="401" t="s">
        <v>1335</v>
      </c>
    </row>
    <row r="62" spans="1:21" s="399" customFormat="1" ht="12">
      <c r="A62" s="402" t="s">
        <v>104</v>
      </c>
      <c r="B62" s="171" t="s">
        <v>93</v>
      </c>
      <c r="C62" s="403" t="s">
        <v>103</v>
      </c>
      <c r="D62" s="404" t="s">
        <v>25</v>
      </c>
      <c r="E62" s="405" t="s">
        <v>26</v>
      </c>
      <c r="F62" s="406">
        <v>41582</v>
      </c>
      <c r="G62" s="407">
        <v>41619</v>
      </c>
      <c r="H62" s="407">
        <v>41626</v>
      </c>
      <c r="I62" s="413">
        <v>205000</v>
      </c>
      <c r="J62" s="413"/>
      <c r="K62" s="413"/>
      <c r="L62" s="414"/>
      <c r="M62" s="411"/>
      <c r="O62" s="400">
        <f t="shared" si="0"/>
        <v>0</v>
      </c>
      <c r="U62" s="401" t="s">
        <v>171</v>
      </c>
    </row>
    <row r="63" spans="1:21" s="399" customFormat="1" ht="12">
      <c r="A63" s="402" t="s">
        <v>105</v>
      </c>
      <c r="B63" s="171" t="s">
        <v>23</v>
      </c>
      <c r="C63" s="403" t="s">
        <v>103</v>
      </c>
      <c r="D63" s="404" t="s">
        <v>25</v>
      </c>
      <c r="E63" s="405" t="s">
        <v>26</v>
      </c>
      <c r="F63" s="406">
        <v>41582</v>
      </c>
      <c r="G63" s="407">
        <v>41619</v>
      </c>
      <c r="H63" s="407">
        <v>41634</v>
      </c>
      <c r="I63" s="178">
        <v>163164.1</v>
      </c>
      <c r="J63" s="178"/>
      <c r="K63" s="178"/>
      <c r="L63" s="415"/>
      <c r="M63" s="411"/>
      <c r="O63" s="400">
        <f t="shared" si="0"/>
        <v>0</v>
      </c>
      <c r="U63" s="401" t="s">
        <v>177</v>
      </c>
    </row>
    <row r="64" spans="1:21" s="399" customFormat="1" ht="12.6" thickBot="1">
      <c r="A64" s="402" t="s">
        <v>106</v>
      </c>
      <c r="B64" s="422" t="s">
        <v>28</v>
      </c>
      <c r="C64" s="403" t="s">
        <v>103</v>
      </c>
      <c r="D64" s="404" t="s">
        <v>25</v>
      </c>
      <c r="E64" s="405" t="s">
        <v>26</v>
      </c>
      <c r="F64" s="406">
        <v>41582</v>
      </c>
      <c r="G64" s="407">
        <v>41619</v>
      </c>
      <c r="H64" s="407">
        <v>41634</v>
      </c>
      <c r="I64" s="408">
        <v>161374.29</v>
      </c>
      <c r="J64" s="409">
        <f>SUM(I61:I64)</f>
        <v>549538.39</v>
      </c>
      <c r="K64" s="409">
        <v>190300</v>
      </c>
      <c r="L64" s="410">
        <f>+J64-K64</f>
        <v>359238.39</v>
      </c>
      <c r="M64" s="411"/>
      <c r="O64" s="400">
        <f t="shared" si="0"/>
        <v>0</v>
      </c>
      <c r="U64" s="401" t="s">
        <v>180</v>
      </c>
    </row>
    <row r="65" spans="1:21" s="399" customFormat="1" ht="12">
      <c r="A65" s="402" t="s">
        <v>107</v>
      </c>
      <c r="B65" s="171" t="s">
        <v>23</v>
      </c>
      <c r="C65" s="403" t="s">
        <v>108</v>
      </c>
      <c r="D65" s="404" t="s">
        <v>38</v>
      </c>
      <c r="E65" s="405" t="s">
        <v>33</v>
      </c>
      <c r="F65" s="406">
        <v>41396</v>
      </c>
      <c r="G65" s="407">
        <v>41439</v>
      </c>
      <c r="H65" s="407">
        <v>41457</v>
      </c>
      <c r="I65" s="413">
        <v>57106.03</v>
      </c>
      <c r="J65" s="413"/>
      <c r="K65" s="413"/>
      <c r="L65" s="414"/>
      <c r="M65" s="411"/>
      <c r="O65" s="400">
        <f t="shared" si="0"/>
        <v>0</v>
      </c>
      <c r="U65" s="401" t="s">
        <v>184</v>
      </c>
    </row>
    <row r="66" spans="1:21" s="399" customFormat="1" ht="12.6" thickBot="1">
      <c r="A66" s="402" t="s">
        <v>109</v>
      </c>
      <c r="B66" s="422" t="s">
        <v>28</v>
      </c>
      <c r="C66" s="403" t="s">
        <v>108</v>
      </c>
      <c r="D66" s="404" t="s">
        <v>38</v>
      </c>
      <c r="E66" s="405" t="s">
        <v>33</v>
      </c>
      <c r="F66" s="406">
        <v>41396</v>
      </c>
      <c r="G66" s="407">
        <v>41439</v>
      </c>
      <c r="H66" s="407">
        <v>41457</v>
      </c>
      <c r="I66" s="408">
        <v>537900</v>
      </c>
      <c r="J66" s="409"/>
      <c r="K66" s="409"/>
      <c r="L66" s="410"/>
      <c r="M66" s="411"/>
      <c r="O66" s="400">
        <f t="shared" si="0"/>
        <v>0</v>
      </c>
      <c r="U66" s="401" t="s">
        <v>189</v>
      </c>
    </row>
    <row r="67" spans="1:21" s="399" customFormat="1" ht="12.6" thickBot="1">
      <c r="A67" s="402" t="s">
        <v>107</v>
      </c>
      <c r="B67" s="171" t="s">
        <v>23</v>
      </c>
      <c r="C67" s="403" t="s">
        <v>108</v>
      </c>
      <c r="D67" s="404" t="s">
        <v>38</v>
      </c>
      <c r="E67" s="405" t="s">
        <v>33</v>
      </c>
      <c r="F67" s="406">
        <v>41396</v>
      </c>
      <c r="G67" s="407">
        <v>41439</v>
      </c>
      <c r="H67" s="407">
        <v>41813</v>
      </c>
      <c r="I67" s="408">
        <v>19035.349999999999</v>
      </c>
      <c r="J67" s="409">
        <f>+I67+I66+I65</f>
        <v>614041.38</v>
      </c>
      <c r="K67" s="409">
        <v>190300</v>
      </c>
      <c r="L67" s="410">
        <f>+J67-K67</f>
        <v>423741.38</v>
      </c>
      <c r="M67" s="411"/>
      <c r="O67" s="400">
        <f t="shared" si="0"/>
        <v>0</v>
      </c>
      <c r="U67" s="401" t="s">
        <v>191</v>
      </c>
    </row>
    <row r="68" spans="1:21" s="399" customFormat="1" ht="12.6" thickBot="1">
      <c r="A68" s="402" t="s">
        <v>110</v>
      </c>
      <c r="B68" s="171" t="s">
        <v>23</v>
      </c>
      <c r="C68" s="403" t="s">
        <v>111</v>
      </c>
      <c r="D68" s="404" t="s">
        <v>38</v>
      </c>
      <c r="E68" s="405" t="s">
        <v>33</v>
      </c>
      <c r="F68" s="406">
        <v>41493</v>
      </c>
      <c r="G68" s="407">
        <v>41563</v>
      </c>
      <c r="H68" s="407">
        <v>41575</v>
      </c>
      <c r="I68" s="408">
        <v>20026.830000000002</v>
      </c>
      <c r="J68" s="409"/>
      <c r="K68" s="409"/>
      <c r="L68" s="410"/>
      <c r="M68" s="411"/>
      <c r="O68" s="400">
        <f t="shared" si="0"/>
        <v>0</v>
      </c>
      <c r="U68" s="401" t="s">
        <v>1369</v>
      </c>
    </row>
    <row r="69" spans="1:21" s="399" customFormat="1" ht="12">
      <c r="A69" s="402" t="s">
        <v>112</v>
      </c>
      <c r="B69" s="422" t="s">
        <v>28</v>
      </c>
      <c r="C69" s="403" t="s">
        <v>111</v>
      </c>
      <c r="D69" s="404" t="s">
        <v>38</v>
      </c>
      <c r="E69" s="405" t="s">
        <v>33</v>
      </c>
      <c r="F69" s="406">
        <v>41493</v>
      </c>
      <c r="G69" s="407">
        <v>41563</v>
      </c>
      <c r="H69" s="407">
        <v>41575</v>
      </c>
      <c r="I69" s="413">
        <v>180000</v>
      </c>
      <c r="J69" s="413">
        <f>+I69+I68</f>
        <v>200026.83000000002</v>
      </c>
      <c r="K69" s="413">
        <v>190300</v>
      </c>
      <c r="L69" s="414">
        <f>+J69-K69</f>
        <v>9726.8300000000163</v>
      </c>
      <c r="M69" s="411"/>
      <c r="O69" s="400">
        <f t="shared" si="0"/>
        <v>0</v>
      </c>
      <c r="U69" s="401" t="s">
        <v>1358</v>
      </c>
    </row>
    <row r="70" spans="1:21" s="399" customFormat="1" ht="12.6" thickBot="1">
      <c r="A70" s="402" t="s">
        <v>113</v>
      </c>
      <c r="B70" s="171" t="s">
        <v>30</v>
      </c>
      <c r="C70" s="403" t="s">
        <v>114</v>
      </c>
      <c r="D70" s="404" t="s">
        <v>115</v>
      </c>
      <c r="E70" s="405" t="s">
        <v>33</v>
      </c>
      <c r="F70" s="406">
        <v>41389</v>
      </c>
      <c r="G70" s="407">
        <v>41417</v>
      </c>
      <c r="H70" s="407">
        <v>41424</v>
      </c>
      <c r="I70" s="408">
        <v>1083.8599999999999</v>
      </c>
      <c r="J70" s="409"/>
      <c r="K70" s="409"/>
      <c r="L70" s="410"/>
      <c r="M70" s="411"/>
      <c r="O70" s="400">
        <f t="shared" si="0"/>
        <v>0</v>
      </c>
      <c r="U70" s="401" t="s">
        <v>196</v>
      </c>
    </row>
    <row r="71" spans="1:21" s="399" customFormat="1" ht="12">
      <c r="A71" s="402" t="s">
        <v>116</v>
      </c>
      <c r="B71" s="422" t="s">
        <v>28</v>
      </c>
      <c r="C71" s="403" t="s">
        <v>114</v>
      </c>
      <c r="D71" s="404" t="s">
        <v>115</v>
      </c>
      <c r="E71" s="405" t="s">
        <v>33</v>
      </c>
      <c r="F71" s="406">
        <v>41389</v>
      </c>
      <c r="G71" s="407">
        <v>41417</v>
      </c>
      <c r="H71" s="407">
        <v>41424</v>
      </c>
      <c r="I71" s="413">
        <v>200000</v>
      </c>
      <c r="J71" s="413">
        <f>+I71+I70</f>
        <v>201083.86</v>
      </c>
      <c r="K71" s="413">
        <v>190300</v>
      </c>
      <c r="L71" s="414">
        <f>+J71-K71</f>
        <v>10783.859999999986</v>
      </c>
      <c r="M71" s="411"/>
      <c r="O71" s="400">
        <f t="shared" si="0"/>
        <v>0</v>
      </c>
      <c r="U71" s="401" t="s">
        <v>199</v>
      </c>
    </row>
    <row r="72" spans="1:21" s="399" customFormat="1" ht="12.6" thickBot="1">
      <c r="A72" s="402" t="s">
        <v>117</v>
      </c>
      <c r="B72" s="171" t="s">
        <v>93</v>
      </c>
      <c r="C72" s="403" t="s">
        <v>118</v>
      </c>
      <c r="D72" s="404" t="s">
        <v>54</v>
      </c>
      <c r="E72" s="405" t="s">
        <v>33</v>
      </c>
      <c r="F72" s="406">
        <v>41354</v>
      </c>
      <c r="G72" s="407">
        <v>41415</v>
      </c>
      <c r="H72" s="407">
        <v>41417</v>
      </c>
      <c r="I72" s="408">
        <v>280000</v>
      </c>
      <c r="J72" s="409"/>
      <c r="K72" s="409"/>
      <c r="L72" s="410"/>
      <c r="M72" s="411"/>
      <c r="O72" s="400">
        <f t="shared" si="0"/>
        <v>0</v>
      </c>
      <c r="U72" s="401" t="s">
        <v>1381</v>
      </c>
    </row>
    <row r="73" spans="1:21" s="399" customFormat="1" ht="12.6" thickBot="1">
      <c r="A73" s="402" t="s">
        <v>119</v>
      </c>
      <c r="B73" s="422" t="s">
        <v>28</v>
      </c>
      <c r="C73" s="403" t="s">
        <v>118</v>
      </c>
      <c r="D73" s="404" t="s">
        <v>54</v>
      </c>
      <c r="E73" s="405" t="s">
        <v>33</v>
      </c>
      <c r="F73" s="406">
        <v>41354</v>
      </c>
      <c r="G73" s="407">
        <v>41415</v>
      </c>
      <c r="H73" s="407">
        <v>41442</v>
      </c>
      <c r="I73" s="413">
        <v>866640.13</v>
      </c>
      <c r="J73" s="413">
        <f>+I73+I72</f>
        <v>1146640.1299999999</v>
      </c>
      <c r="K73" s="409">
        <v>190300</v>
      </c>
      <c r="L73" s="414">
        <f>+J73-K73</f>
        <v>956340.12999999989</v>
      </c>
      <c r="M73" s="411"/>
      <c r="O73" s="400">
        <f t="shared" si="0"/>
        <v>424936.12999999989</v>
      </c>
      <c r="U73" s="401" t="s">
        <v>203</v>
      </c>
    </row>
    <row r="74" spans="1:21" s="399" customFormat="1" ht="12.6" thickBot="1">
      <c r="A74" s="402" t="s">
        <v>1383</v>
      </c>
      <c r="B74" s="171" t="s">
        <v>28</v>
      </c>
      <c r="C74" s="403" t="s">
        <v>1384</v>
      </c>
      <c r="D74" s="404" t="s">
        <v>1375</v>
      </c>
      <c r="E74" s="405" t="s">
        <v>1375</v>
      </c>
      <c r="F74" s="406">
        <v>41528</v>
      </c>
      <c r="G74" s="407">
        <v>42432</v>
      </c>
      <c r="H74" s="407">
        <v>42446</v>
      </c>
      <c r="I74" s="408">
        <v>9700</v>
      </c>
      <c r="J74" s="409"/>
      <c r="K74" s="409"/>
      <c r="L74" s="410"/>
      <c r="M74" s="411"/>
      <c r="O74" s="400">
        <f t="shared" si="0"/>
        <v>0</v>
      </c>
      <c r="U74" s="401" t="s">
        <v>208</v>
      </c>
    </row>
    <row r="75" spans="1:21" s="399" customFormat="1" ht="12">
      <c r="A75" s="402" t="s">
        <v>1370</v>
      </c>
      <c r="B75" s="171" t="s">
        <v>28</v>
      </c>
      <c r="C75" s="403" t="s">
        <v>1373</v>
      </c>
      <c r="D75" s="404" t="s">
        <v>1374</v>
      </c>
      <c r="E75" s="405" t="s">
        <v>1375</v>
      </c>
      <c r="F75" s="406">
        <v>41619</v>
      </c>
      <c r="G75" s="407">
        <v>41824</v>
      </c>
      <c r="H75" s="407">
        <v>41869</v>
      </c>
      <c r="I75" s="413">
        <v>45825.81</v>
      </c>
      <c r="J75" s="413"/>
      <c r="K75" s="413"/>
      <c r="L75" s="414"/>
      <c r="M75" s="411"/>
      <c r="O75" s="400">
        <f t="shared" si="0"/>
        <v>0</v>
      </c>
      <c r="U75" s="401" t="s">
        <v>213</v>
      </c>
    </row>
    <row r="76" spans="1:21" s="399" customFormat="1" ht="12">
      <c r="A76" s="402" t="s">
        <v>1371</v>
      </c>
      <c r="B76" s="171" t="s">
        <v>93</v>
      </c>
      <c r="C76" s="403" t="s">
        <v>1373</v>
      </c>
      <c r="D76" s="404" t="s">
        <v>1374</v>
      </c>
      <c r="E76" s="405" t="s">
        <v>1375</v>
      </c>
      <c r="F76" s="406">
        <v>41619</v>
      </c>
      <c r="G76" s="407">
        <v>41824</v>
      </c>
      <c r="H76" s="407">
        <v>41869</v>
      </c>
      <c r="I76" s="178">
        <v>250000</v>
      </c>
      <c r="J76" s="178"/>
      <c r="K76" s="178"/>
      <c r="L76" s="415"/>
      <c r="M76" s="411"/>
      <c r="O76" s="400">
        <f t="shared" ref="O76:O139" si="1">IF($J76&gt;P$8,$J76-P$8,0)</f>
        <v>0</v>
      </c>
      <c r="U76" s="401" t="s">
        <v>1066</v>
      </c>
    </row>
    <row r="77" spans="1:21" s="399" customFormat="1" ht="12.6" thickBot="1">
      <c r="A77" s="402" t="s">
        <v>1372</v>
      </c>
      <c r="B77" s="171" t="s">
        <v>93</v>
      </c>
      <c r="C77" s="403" t="s">
        <v>1373</v>
      </c>
      <c r="D77" s="404" t="s">
        <v>1374</v>
      </c>
      <c r="E77" s="405" t="s">
        <v>1375</v>
      </c>
      <c r="F77" s="406">
        <v>41619</v>
      </c>
      <c r="G77" s="407">
        <v>41824</v>
      </c>
      <c r="H77" s="407">
        <v>41869</v>
      </c>
      <c r="I77" s="408">
        <v>100000</v>
      </c>
      <c r="J77" s="409">
        <f>+I77+I76+I75+I74</f>
        <v>405525.81</v>
      </c>
      <c r="K77" s="413">
        <v>190300</v>
      </c>
      <c r="L77" s="414">
        <f>+J77-K77</f>
        <v>215225.81</v>
      </c>
      <c r="M77" s="411"/>
      <c r="O77" s="400">
        <f t="shared" si="1"/>
        <v>0</v>
      </c>
    </row>
    <row r="78" spans="1:21" s="399" customFormat="1" ht="12">
      <c r="A78" s="402" t="s">
        <v>1342</v>
      </c>
      <c r="B78" s="171" t="s">
        <v>30</v>
      </c>
      <c r="C78" s="403" t="s">
        <v>1345</v>
      </c>
      <c r="D78" s="404" t="s">
        <v>1346</v>
      </c>
      <c r="E78" s="405" t="s">
        <v>33</v>
      </c>
      <c r="F78" s="406">
        <v>41622</v>
      </c>
      <c r="G78" s="407">
        <v>41717</v>
      </c>
      <c r="H78" s="407">
        <v>41724</v>
      </c>
      <c r="I78" s="413">
        <v>33725.379999999997</v>
      </c>
      <c r="J78" s="413"/>
      <c r="K78" s="413"/>
      <c r="L78" s="414"/>
      <c r="M78" s="411"/>
      <c r="O78" s="400">
        <f t="shared" si="1"/>
        <v>0</v>
      </c>
    </row>
    <row r="79" spans="1:21" s="399" customFormat="1" ht="12.6" thickBot="1">
      <c r="A79" s="402" t="s">
        <v>1343</v>
      </c>
      <c r="B79" s="171" t="s">
        <v>28</v>
      </c>
      <c r="C79" s="403" t="s">
        <v>1345</v>
      </c>
      <c r="D79" s="404" t="s">
        <v>1346</v>
      </c>
      <c r="E79" s="405" t="s">
        <v>33</v>
      </c>
      <c r="F79" s="406">
        <v>41622</v>
      </c>
      <c r="G79" s="407">
        <v>41717</v>
      </c>
      <c r="H79" s="407">
        <v>41724</v>
      </c>
      <c r="I79" s="408">
        <v>72030.960000000006</v>
      </c>
      <c r="J79" s="409"/>
      <c r="K79" s="409"/>
      <c r="L79" s="410"/>
      <c r="M79" s="411"/>
      <c r="O79" s="400">
        <f t="shared" si="1"/>
        <v>0</v>
      </c>
    </row>
    <row r="80" spans="1:21" s="399" customFormat="1" ht="12">
      <c r="A80" s="402" t="s">
        <v>1344</v>
      </c>
      <c r="B80" s="171" t="s">
        <v>93</v>
      </c>
      <c r="C80" s="403" t="s">
        <v>1345</v>
      </c>
      <c r="D80" s="404" t="s">
        <v>1346</v>
      </c>
      <c r="E80" s="405" t="s">
        <v>33</v>
      </c>
      <c r="F80" s="406">
        <v>41622</v>
      </c>
      <c r="G80" s="407">
        <v>41717</v>
      </c>
      <c r="H80" s="407">
        <v>41724</v>
      </c>
      <c r="I80" s="413">
        <v>135000</v>
      </c>
      <c r="J80" s="413">
        <f>+I80+I79+I78</f>
        <v>240756.34000000003</v>
      </c>
      <c r="K80" s="413">
        <v>190300</v>
      </c>
      <c r="L80" s="414">
        <f>+J80-K80</f>
        <v>50456.340000000026</v>
      </c>
      <c r="M80" s="411"/>
      <c r="O80" s="400">
        <f t="shared" si="1"/>
        <v>0</v>
      </c>
    </row>
    <row r="81" spans="1:15" s="399" customFormat="1" ht="12">
      <c r="A81" s="402" t="s">
        <v>120</v>
      </c>
      <c r="B81" s="171" t="s">
        <v>30</v>
      </c>
      <c r="C81" s="403" t="s">
        <v>121</v>
      </c>
      <c r="D81" s="404" t="s">
        <v>69</v>
      </c>
      <c r="E81" s="405" t="s">
        <v>33</v>
      </c>
      <c r="F81" s="406">
        <v>41479</v>
      </c>
      <c r="G81" s="407">
        <v>41557</v>
      </c>
      <c r="H81" s="407">
        <v>41561</v>
      </c>
      <c r="I81" s="178">
        <v>53000</v>
      </c>
      <c r="J81" s="178"/>
      <c r="K81" s="178"/>
      <c r="L81" s="415"/>
      <c r="M81" s="411"/>
      <c r="O81" s="400">
        <f t="shared" si="1"/>
        <v>0</v>
      </c>
    </row>
    <row r="82" spans="1:15" s="399" customFormat="1" ht="12.6" thickBot="1">
      <c r="A82" s="402" t="s">
        <v>122</v>
      </c>
      <c r="B82" s="422" t="s">
        <v>28</v>
      </c>
      <c r="C82" s="403" t="s">
        <v>121</v>
      </c>
      <c r="D82" s="404" t="s">
        <v>69</v>
      </c>
      <c r="E82" s="405" t="s">
        <v>33</v>
      </c>
      <c r="F82" s="406">
        <v>41479</v>
      </c>
      <c r="G82" s="407">
        <v>41557</v>
      </c>
      <c r="H82" s="407">
        <v>41561</v>
      </c>
      <c r="I82" s="408">
        <v>200000</v>
      </c>
      <c r="J82" s="409">
        <f>+I82+I81</f>
        <v>253000</v>
      </c>
      <c r="K82" s="409">
        <v>190300</v>
      </c>
      <c r="L82" s="410">
        <f>+J82-K82</f>
        <v>62700</v>
      </c>
      <c r="M82" s="411"/>
      <c r="O82" s="400">
        <f t="shared" si="1"/>
        <v>0</v>
      </c>
    </row>
    <row r="83" spans="1:15" s="399" customFormat="1" ht="12">
      <c r="A83" s="402" t="s">
        <v>123</v>
      </c>
      <c r="B83" s="171" t="s">
        <v>36</v>
      </c>
      <c r="C83" s="403" t="s">
        <v>124</v>
      </c>
      <c r="D83" s="404" t="s">
        <v>38</v>
      </c>
      <c r="E83" s="405" t="s">
        <v>33</v>
      </c>
      <c r="F83" s="406">
        <v>41537</v>
      </c>
      <c r="G83" s="407">
        <v>41603</v>
      </c>
      <c r="H83" s="407">
        <v>41604</v>
      </c>
      <c r="I83" s="413">
        <v>302406.42</v>
      </c>
      <c r="J83" s="413">
        <f>+I83</f>
        <v>302406.42</v>
      </c>
      <c r="K83" s="413">
        <v>190300</v>
      </c>
      <c r="L83" s="414">
        <f>+J83-K83</f>
        <v>112106.41999999998</v>
      </c>
      <c r="M83" s="411"/>
      <c r="O83" s="400">
        <f t="shared" si="1"/>
        <v>0</v>
      </c>
    </row>
    <row r="84" spans="1:15" s="399" customFormat="1" ht="12.6" thickBot="1">
      <c r="A84" s="402" t="s">
        <v>125</v>
      </c>
      <c r="B84" s="171" t="s">
        <v>23</v>
      </c>
      <c r="C84" s="403" t="s">
        <v>126</v>
      </c>
      <c r="D84" s="404" t="s">
        <v>25</v>
      </c>
      <c r="E84" s="405" t="s">
        <v>26</v>
      </c>
      <c r="F84" s="406">
        <v>41557</v>
      </c>
      <c r="G84" s="407">
        <v>41586</v>
      </c>
      <c r="H84" s="407">
        <v>41624</v>
      </c>
      <c r="I84" s="408">
        <v>78411.320000000007</v>
      </c>
      <c r="J84" s="409"/>
      <c r="K84" s="409"/>
      <c r="L84" s="410"/>
      <c r="M84" s="411"/>
      <c r="O84" s="400">
        <f t="shared" si="1"/>
        <v>0</v>
      </c>
    </row>
    <row r="85" spans="1:15" s="399" customFormat="1" ht="12">
      <c r="A85" s="402" t="s">
        <v>127</v>
      </c>
      <c r="B85" s="422" t="s">
        <v>28</v>
      </c>
      <c r="C85" s="403" t="s">
        <v>126</v>
      </c>
      <c r="D85" s="404" t="s">
        <v>25</v>
      </c>
      <c r="E85" s="405" t="s">
        <v>26</v>
      </c>
      <c r="F85" s="406">
        <v>41557</v>
      </c>
      <c r="G85" s="407">
        <v>41586</v>
      </c>
      <c r="H85" s="407">
        <v>41624</v>
      </c>
      <c r="I85" s="413">
        <v>685941.38</v>
      </c>
      <c r="J85" s="413"/>
      <c r="K85" s="413"/>
      <c r="L85" s="414"/>
      <c r="M85" s="411"/>
      <c r="O85" s="400">
        <f t="shared" si="1"/>
        <v>0</v>
      </c>
    </row>
    <row r="86" spans="1:15" s="399" customFormat="1" ht="12.6" thickBot="1">
      <c r="A86" s="402" t="s">
        <v>128</v>
      </c>
      <c r="B86" s="171" t="s">
        <v>50</v>
      </c>
      <c r="C86" s="403" t="s">
        <v>126</v>
      </c>
      <c r="D86" s="404" t="s">
        <v>25</v>
      </c>
      <c r="E86" s="405" t="s">
        <v>26</v>
      </c>
      <c r="F86" s="406">
        <v>41557</v>
      </c>
      <c r="G86" s="407">
        <v>41586</v>
      </c>
      <c r="H86" s="407">
        <v>41624</v>
      </c>
      <c r="I86" s="408">
        <v>5000</v>
      </c>
      <c r="J86" s="409">
        <f>+I86+I85+I84</f>
        <v>769352.7</v>
      </c>
      <c r="K86" s="409">
        <v>190300</v>
      </c>
      <c r="L86" s="410">
        <f>+J86-K86</f>
        <v>579052.69999999995</v>
      </c>
      <c r="M86" s="411"/>
      <c r="O86" s="400">
        <f t="shared" si="1"/>
        <v>47648.699999999953</v>
      </c>
    </row>
    <row r="87" spans="1:15" s="399" customFormat="1" ht="12">
      <c r="A87" s="402" t="s">
        <v>129</v>
      </c>
      <c r="B87" s="171" t="s">
        <v>30</v>
      </c>
      <c r="C87" s="403" t="s">
        <v>130</v>
      </c>
      <c r="D87" s="404" t="s">
        <v>131</v>
      </c>
      <c r="E87" s="405" t="s">
        <v>33</v>
      </c>
      <c r="F87" s="406">
        <v>41382</v>
      </c>
      <c r="G87" s="407">
        <v>41416</v>
      </c>
      <c r="H87" s="407">
        <v>41421</v>
      </c>
      <c r="I87" s="413">
        <v>75041.3</v>
      </c>
      <c r="J87" s="413"/>
      <c r="K87" s="413"/>
      <c r="L87" s="414"/>
      <c r="M87" s="411"/>
      <c r="O87" s="400">
        <f t="shared" si="1"/>
        <v>0</v>
      </c>
    </row>
    <row r="88" spans="1:15" s="399" customFormat="1" ht="12">
      <c r="A88" s="402" t="s">
        <v>132</v>
      </c>
      <c r="B88" s="422" t="s">
        <v>28</v>
      </c>
      <c r="C88" s="403" t="s">
        <v>130</v>
      </c>
      <c r="D88" s="404" t="s">
        <v>131</v>
      </c>
      <c r="E88" s="405" t="s">
        <v>33</v>
      </c>
      <c r="F88" s="406">
        <v>41382</v>
      </c>
      <c r="G88" s="407">
        <v>41416</v>
      </c>
      <c r="H88" s="407">
        <v>41421</v>
      </c>
      <c r="I88" s="178">
        <v>241559.72</v>
      </c>
      <c r="J88" s="178">
        <f>+I88+I87</f>
        <v>316601.02</v>
      </c>
      <c r="K88" s="178">
        <v>190300</v>
      </c>
      <c r="L88" s="415">
        <f>+J88-K88</f>
        <v>126301.02000000002</v>
      </c>
      <c r="M88" s="411"/>
      <c r="O88" s="400">
        <f t="shared" si="1"/>
        <v>0</v>
      </c>
    </row>
    <row r="89" spans="1:15" s="399" customFormat="1" ht="12.6" thickBot="1">
      <c r="A89" s="402" t="s">
        <v>133</v>
      </c>
      <c r="B89" s="422" t="s">
        <v>28</v>
      </c>
      <c r="C89" s="403" t="s">
        <v>134</v>
      </c>
      <c r="D89" s="404" t="s">
        <v>135</v>
      </c>
      <c r="E89" s="405" t="s">
        <v>33</v>
      </c>
      <c r="F89" s="406">
        <v>41432</v>
      </c>
      <c r="G89" s="407">
        <v>41505</v>
      </c>
      <c r="H89" s="407">
        <v>41507</v>
      </c>
      <c r="I89" s="178">
        <v>463512.29</v>
      </c>
      <c r="J89" s="178">
        <f>I89</f>
        <v>463512.29</v>
      </c>
      <c r="K89" s="409">
        <v>190300</v>
      </c>
      <c r="L89" s="415">
        <f>+J89-K89</f>
        <v>273212.28999999998</v>
      </c>
      <c r="M89" s="411"/>
      <c r="O89" s="400">
        <f t="shared" si="1"/>
        <v>0</v>
      </c>
    </row>
    <row r="90" spans="1:15" s="399" customFormat="1" ht="12.6" thickBot="1">
      <c r="A90" s="402" t="s">
        <v>136</v>
      </c>
      <c r="B90" s="422" t="s">
        <v>28</v>
      </c>
      <c r="C90" s="403" t="s">
        <v>137</v>
      </c>
      <c r="D90" s="404" t="s">
        <v>138</v>
      </c>
      <c r="E90" s="405" t="s">
        <v>33</v>
      </c>
      <c r="F90" s="406">
        <v>41381</v>
      </c>
      <c r="G90" s="407">
        <v>41416</v>
      </c>
      <c r="H90" s="407">
        <v>41421</v>
      </c>
      <c r="I90" s="408">
        <v>43790.44</v>
      </c>
      <c r="J90" s="409"/>
      <c r="K90" s="409"/>
      <c r="L90" s="410"/>
      <c r="M90" s="411"/>
      <c r="O90" s="400">
        <f t="shared" si="1"/>
        <v>0</v>
      </c>
    </row>
    <row r="91" spans="1:15" s="399" customFormat="1" ht="12">
      <c r="A91" s="402" t="s">
        <v>139</v>
      </c>
      <c r="B91" s="171" t="s">
        <v>140</v>
      </c>
      <c r="C91" s="403" t="s">
        <v>137</v>
      </c>
      <c r="D91" s="404" t="s">
        <v>138</v>
      </c>
      <c r="E91" s="405" t="s">
        <v>33</v>
      </c>
      <c r="F91" s="406">
        <v>41381</v>
      </c>
      <c r="G91" s="407">
        <v>41474</v>
      </c>
      <c r="H91" s="407">
        <v>41477</v>
      </c>
      <c r="I91" s="413">
        <v>330000</v>
      </c>
      <c r="J91" s="413">
        <f>+I91+I90</f>
        <v>373790.44</v>
      </c>
      <c r="K91" s="413">
        <v>190300</v>
      </c>
      <c r="L91" s="414">
        <f>+J91-K91</f>
        <v>183490.44</v>
      </c>
      <c r="M91" s="411"/>
      <c r="O91" s="400">
        <f t="shared" si="1"/>
        <v>0</v>
      </c>
    </row>
    <row r="92" spans="1:15" s="399" customFormat="1" ht="12.6" thickBot="1">
      <c r="A92" s="190" t="s">
        <v>141</v>
      </c>
      <c r="B92" s="171" t="s">
        <v>30</v>
      </c>
      <c r="C92" s="403" t="s">
        <v>142</v>
      </c>
      <c r="D92" s="404" t="s">
        <v>38</v>
      </c>
      <c r="E92" s="405" t="s">
        <v>33</v>
      </c>
      <c r="F92" s="417">
        <v>41303</v>
      </c>
      <c r="G92" s="418">
        <v>41331</v>
      </c>
      <c r="H92" s="418">
        <v>41331</v>
      </c>
      <c r="I92" s="423">
        <v>3843.64</v>
      </c>
      <c r="J92" s="424"/>
      <c r="K92" s="424"/>
      <c r="L92" s="410"/>
      <c r="M92" s="411"/>
      <c r="O92" s="400">
        <f t="shared" si="1"/>
        <v>0</v>
      </c>
    </row>
    <row r="93" spans="1:15" s="399" customFormat="1" ht="12">
      <c r="A93" s="190" t="s">
        <v>143</v>
      </c>
      <c r="B93" s="422" t="s">
        <v>28</v>
      </c>
      <c r="C93" s="403" t="s">
        <v>142</v>
      </c>
      <c r="D93" s="404" t="s">
        <v>38</v>
      </c>
      <c r="E93" s="405" t="s">
        <v>33</v>
      </c>
      <c r="F93" s="417">
        <v>41303</v>
      </c>
      <c r="G93" s="418">
        <v>41331</v>
      </c>
      <c r="H93" s="418">
        <v>41331</v>
      </c>
      <c r="I93" s="419">
        <v>200000</v>
      </c>
      <c r="J93" s="419">
        <f>+I93+I92</f>
        <v>203843.64</v>
      </c>
      <c r="K93" s="413">
        <v>190300</v>
      </c>
      <c r="L93" s="414">
        <f>+J93-K93</f>
        <v>13543.640000000014</v>
      </c>
      <c r="M93" s="411"/>
      <c r="O93" s="400">
        <f t="shared" si="1"/>
        <v>0</v>
      </c>
    </row>
    <row r="94" spans="1:15" s="399" customFormat="1" ht="12.6" thickBot="1">
      <c r="A94" s="402" t="s">
        <v>144</v>
      </c>
      <c r="B94" s="171" t="s">
        <v>23</v>
      </c>
      <c r="C94" s="403" t="s">
        <v>145</v>
      </c>
      <c r="D94" s="404" t="s">
        <v>38</v>
      </c>
      <c r="E94" s="405" t="s">
        <v>33</v>
      </c>
      <c r="F94" s="406">
        <v>41393</v>
      </c>
      <c r="G94" s="407">
        <v>41527</v>
      </c>
      <c r="H94" s="407">
        <v>41564</v>
      </c>
      <c r="I94" s="408">
        <v>101839.64</v>
      </c>
      <c r="J94" s="409"/>
      <c r="K94" s="409"/>
      <c r="L94" s="410"/>
      <c r="M94" s="411"/>
      <c r="O94" s="400">
        <f t="shared" si="1"/>
        <v>0</v>
      </c>
    </row>
    <row r="95" spans="1:15" s="399" customFormat="1" ht="12.6" thickBot="1">
      <c r="A95" s="402" t="s">
        <v>146</v>
      </c>
      <c r="B95" s="422" t="s">
        <v>28</v>
      </c>
      <c r="C95" s="403" t="s">
        <v>145</v>
      </c>
      <c r="D95" s="404" t="s">
        <v>38</v>
      </c>
      <c r="E95" s="405" t="s">
        <v>33</v>
      </c>
      <c r="F95" s="406">
        <v>41393</v>
      </c>
      <c r="G95" s="407">
        <v>41527</v>
      </c>
      <c r="H95" s="407">
        <v>41564</v>
      </c>
      <c r="I95" s="413">
        <v>758960.19</v>
      </c>
      <c r="J95" s="413">
        <f>SUM(I94:I95)</f>
        <v>860799.83</v>
      </c>
      <c r="K95" s="409">
        <v>190300</v>
      </c>
      <c r="L95" s="414">
        <f>+J95-K95</f>
        <v>670499.82999999996</v>
      </c>
      <c r="M95" s="411"/>
      <c r="O95" s="400">
        <f t="shared" si="1"/>
        <v>139095.82999999996</v>
      </c>
    </row>
    <row r="96" spans="1:15" s="399" customFormat="1" ht="12">
      <c r="A96" s="402" t="s">
        <v>147</v>
      </c>
      <c r="B96" s="171" t="s">
        <v>23</v>
      </c>
      <c r="C96" s="403" t="s">
        <v>148</v>
      </c>
      <c r="D96" s="404" t="s">
        <v>149</v>
      </c>
      <c r="E96" s="405" t="s">
        <v>33</v>
      </c>
      <c r="F96" s="406">
        <v>41405</v>
      </c>
      <c r="G96" s="407">
        <v>41479</v>
      </c>
      <c r="H96" s="407">
        <v>41481</v>
      </c>
      <c r="I96" s="178">
        <v>183609.81</v>
      </c>
      <c r="J96" s="178"/>
      <c r="K96" s="178"/>
      <c r="L96" s="415"/>
      <c r="M96" s="411"/>
      <c r="O96" s="400">
        <f t="shared" si="1"/>
        <v>0</v>
      </c>
    </row>
    <row r="97" spans="1:15" s="399" customFormat="1" ht="12.6" thickBot="1">
      <c r="A97" s="402" t="s">
        <v>150</v>
      </c>
      <c r="B97" s="422" t="s">
        <v>28</v>
      </c>
      <c r="C97" s="403" t="s">
        <v>148</v>
      </c>
      <c r="D97" s="404" t="s">
        <v>149</v>
      </c>
      <c r="E97" s="405" t="s">
        <v>33</v>
      </c>
      <c r="F97" s="406">
        <v>41405</v>
      </c>
      <c r="G97" s="407">
        <v>41479</v>
      </c>
      <c r="H97" s="407">
        <v>41481</v>
      </c>
      <c r="I97" s="178">
        <v>350134.33</v>
      </c>
      <c r="J97" s="178">
        <f>+I97+I96</f>
        <v>533744.14</v>
      </c>
      <c r="K97" s="409">
        <v>190300</v>
      </c>
      <c r="L97" s="415">
        <f>+J97-K97</f>
        <v>343444.14</v>
      </c>
      <c r="M97" s="411"/>
      <c r="O97" s="400">
        <f t="shared" si="1"/>
        <v>0</v>
      </c>
    </row>
    <row r="98" spans="1:15" s="399" customFormat="1" ht="12.6" thickBot="1">
      <c r="A98" s="402" t="s">
        <v>151</v>
      </c>
      <c r="B98" s="422" t="s">
        <v>28</v>
      </c>
      <c r="C98" s="403" t="s">
        <v>152</v>
      </c>
      <c r="D98" s="404" t="s">
        <v>153</v>
      </c>
      <c r="E98" s="405" t="s">
        <v>33</v>
      </c>
      <c r="F98" s="406">
        <v>41277</v>
      </c>
      <c r="G98" s="407">
        <v>41365</v>
      </c>
      <c r="H98" s="407">
        <v>41380</v>
      </c>
      <c r="I98" s="408">
        <v>115000</v>
      </c>
      <c r="J98" s="409"/>
      <c r="K98" s="409"/>
      <c r="L98" s="410"/>
      <c r="M98" s="411"/>
      <c r="O98" s="400">
        <f t="shared" si="1"/>
        <v>0</v>
      </c>
    </row>
    <row r="99" spans="1:15" s="399" customFormat="1" ht="12.6" thickBot="1">
      <c r="A99" s="402" t="s">
        <v>154</v>
      </c>
      <c r="B99" s="171" t="s">
        <v>23</v>
      </c>
      <c r="C99" s="403" t="s">
        <v>152</v>
      </c>
      <c r="D99" s="404" t="s">
        <v>153</v>
      </c>
      <c r="E99" s="405" t="s">
        <v>33</v>
      </c>
      <c r="F99" s="406">
        <v>41277</v>
      </c>
      <c r="G99" s="407">
        <v>41365</v>
      </c>
      <c r="H99" s="407">
        <v>41380</v>
      </c>
      <c r="I99" s="408">
        <v>240000</v>
      </c>
      <c r="J99" s="409"/>
      <c r="K99" s="409"/>
      <c r="L99" s="410"/>
      <c r="M99" s="411"/>
      <c r="O99" s="400">
        <f t="shared" si="1"/>
        <v>0</v>
      </c>
    </row>
    <row r="100" spans="1:15" s="399" customFormat="1" ht="12">
      <c r="A100" s="402" t="s">
        <v>155</v>
      </c>
      <c r="B100" s="422" t="s">
        <v>28</v>
      </c>
      <c r="C100" s="403" t="s">
        <v>152</v>
      </c>
      <c r="D100" s="404" t="s">
        <v>156</v>
      </c>
      <c r="E100" s="405" t="s">
        <v>33</v>
      </c>
      <c r="F100" s="406">
        <v>41277</v>
      </c>
      <c r="G100" s="407">
        <v>41414</v>
      </c>
      <c r="H100" s="407">
        <v>41415</v>
      </c>
      <c r="I100" s="413">
        <v>34603.760000000002</v>
      </c>
      <c r="J100" s="413">
        <f>SUM(I98:I100)</f>
        <v>389603.76</v>
      </c>
      <c r="K100" s="413">
        <v>190300</v>
      </c>
      <c r="L100" s="414">
        <f>+J100-K100</f>
        <v>199303.76</v>
      </c>
      <c r="M100" s="411"/>
      <c r="O100" s="400">
        <f t="shared" si="1"/>
        <v>0</v>
      </c>
    </row>
    <row r="101" spans="1:15" s="399" customFormat="1" ht="12">
      <c r="A101" s="402" t="s">
        <v>1376</v>
      </c>
      <c r="B101" s="171" t="s">
        <v>30</v>
      </c>
      <c r="C101" s="403" t="s">
        <v>1380</v>
      </c>
      <c r="D101" s="404" t="s">
        <v>517</v>
      </c>
      <c r="E101" s="405" t="s">
        <v>33</v>
      </c>
      <c r="F101" s="406">
        <v>41619</v>
      </c>
      <c r="G101" s="407">
        <v>41948</v>
      </c>
      <c r="H101" s="407">
        <v>41963</v>
      </c>
      <c r="I101" s="178">
        <v>153000</v>
      </c>
      <c r="J101" s="178"/>
      <c r="K101" s="178"/>
      <c r="L101" s="415"/>
      <c r="M101" s="411"/>
      <c r="O101" s="400">
        <f t="shared" si="1"/>
        <v>0</v>
      </c>
    </row>
    <row r="102" spans="1:15" s="399" customFormat="1" ht="12.6" thickBot="1">
      <c r="A102" s="402" t="s">
        <v>1377</v>
      </c>
      <c r="B102" s="171" t="s">
        <v>28</v>
      </c>
      <c r="C102" s="403" t="s">
        <v>1380</v>
      </c>
      <c r="D102" s="404" t="s">
        <v>517</v>
      </c>
      <c r="E102" s="405" t="s">
        <v>33</v>
      </c>
      <c r="F102" s="406">
        <v>41619</v>
      </c>
      <c r="G102" s="407">
        <v>41948</v>
      </c>
      <c r="H102" s="407">
        <v>41968</v>
      </c>
      <c r="I102" s="408">
        <v>199869.33</v>
      </c>
      <c r="J102" s="409"/>
      <c r="K102" s="409"/>
      <c r="L102" s="410"/>
      <c r="M102" s="411"/>
      <c r="O102" s="400">
        <f t="shared" si="1"/>
        <v>0</v>
      </c>
    </row>
    <row r="103" spans="1:15" s="399" customFormat="1" ht="12">
      <c r="A103" s="402" t="s">
        <v>1382</v>
      </c>
      <c r="B103" s="171" t="s">
        <v>23</v>
      </c>
      <c r="C103" s="403" t="s">
        <v>1380</v>
      </c>
      <c r="D103" s="404" t="s">
        <v>517</v>
      </c>
      <c r="E103" s="405" t="s">
        <v>33</v>
      </c>
      <c r="F103" s="406">
        <v>41619</v>
      </c>
      <c r="G103" s="407">
        <v>41680</v>
      </c>
      <c r="H103" s="407">
        <v>41684</v>
      </c>
      <c r="I103" s="413">
        <v>18210.96</v>
      </c>
      <c r="J103" s="413">
        <f>SUM(I101:I103)</f>
        <v>371080.29</v>
      </c>
      <c r="K103" s="413">
        <v>190300</v>
      </c>
      <c r="L103" s="414">
        <f>+J103-K103</f>
        <v>180780.28999999998</v>
      </c>
      <c r="M103" s="411"/>
      <c r="O103" s="400">
        <f t="shared" si="1"/>
        <v>0</v>
      </c>
    </row>
    <row r="104" spans="1:15" s="399" customFormat="1" ht="12.6" thickBot="1">
      <c r="A104" s="402" t="s">
        <v>1325</v>
      </c>
      <c r="B104" s="171" t="s">
        <v>28</v>
      </c>
      <c r="C104" s="403" t="s">
        <v>1326</v>
      </c>
      <c r="D104" s="404" t="s">
        <v>69</v>
      </c>
      <c r="E104" s="405" t="s">
        <v>313</v>
      </c>
      <c r="F104" s="406">
        <v>41414</v>
      </c>
      <c r="G104" s="407">
        <v>41666</v>
      </c>
      <c r="H104" s="407">
        <v>41667</v>
      </c>
      <c r="I104" s="408">
        <v>363000</v>
      </c>
      <c r="J104" s="409">
        <f>+I104</f>
        <v>363000</v>
      </c>
      <c r="K104" s="409">
        <v>190300</v>
      </c>
      <c r="L104" s="410">
        <f>+J104-K104</f>
        <v>172700</v>
      </c>
      <c r="M104" s="411"/>
      <c r="O104" s="400">
        <f t="shared" si="1"/>
        <v>0</v>
      </c>
    </row>
    <row r="105" spans="1:15" s="399" customFormat="1" ht="12.6" thickBot="1">
      <c r="A105" s="402" t="s">
        <v>157</v>
      </c>
      <c r="B105" s="171" t="s">
        <v>23</v>
      </c>
      <c r="C105" s="403" t="s">
        <v>158</v>
      </c>
      <c r="D105" s="404" t="s">
        <v>69</v>
      </c>
      <c r="E105" s="405" t="s">
        <v>33</v>
      </c>
      <c r="F105" s="406">
        <v>41480</v>
      </c>
      <c r="G105" s="407">
        <v>41519</v>
      </c>
      <c r="H105" s="407">
        <v>41529</v>
      </c>
      <c r="I105" s="408">
        <v>206055.75</v>
      </c>
      <c r="J105" s="409"/>
      <c r="K105" s="409"/>
      <c r="L105" s="410"/>
      <c r="M105" s="411"/>
      <c r="O105" s="400">
        <f t="shared" si="1"/>
        <v>0</v>
      </c>
    </row>
    <row r="106" spans="1:15" s="399" customFormat="1" ht="12">
      <c r="A106" s="402" t="s">
        <v>159</v>
      </c>
      <c r="B106" s="422" t="s">
        <v>28</v>
      </c>
      <c r="C106" s="403" t="s">
        <v>158</v>
      </c>
      <c r="D106" s="404" t="s">
        <v>69</v>
      </c>
      <c r="E106" s="405" t="s">
        <v>33</v>
      </c>
      <c r="F106" s="406">
        <v>41480</v>
      </c>
      <c r="G106" s="407">
        <v>41519</v>
      </c>
      <c r="H106" s="407">
        <v>41561</v>
      </c>
      <c r="I106" s="413">
        <v>100000</v>
      </c>
      <c r="J106" s="413">
        <f>+I106+I105</f>
        <v>306055.75</v>
      </c>
      <c r="K106" s="413">
        <v>190300</v>
      </c>
      <c r="L106" s="414">
        <f>+J106-K106</f>
        <v>115755.75</v>
      </c>
      <c r="M106" s="411"/>
      <c r="O106" s="400">
        <f t="shared" si="1"/>
        <v>0</v>
      </c>
    </row>
    <row r="107" spans="1:15" s="399" customFormat="1" ht="12">
      <c r="A107" s="402" t="s">
        <v>160</v>
      </c>
      <c r="B107" s="422" t="s">
        <v>28</v>
      </c>
      <c r="C107" s="403" t="s">
        <v>161</v>
      </c>
      <c r="D107" s="404" t="s">
        <v>69</v>
      </c>
      <c r="E107" s="405" t="s">
        <v>33</v>
      </c>
      <c r="F107" s="406">
        <v>41390</v>
      </c>
      <c r="G107" s="407">
        <v>41460</v>
      </c>
      <c r="H107" s="407">
        <v>41474</v>
      </c>
      <c r="I107" s="178">
        <v>100000</v>
      </c>
      <c r="J107" s="178"/>
      <c r="K107" s="178"/>
      <c r="L107" s="415"/>
      <c r="M107" s="411"/>
      <c r="O107" s="400">
        <f t="shared" si="1"/>
        <v>0</v>
      </c>
    </row>
    <row r="108" spans="1:15" s="399" customFormat="1" ht="12">
      <c r="A108" s="402" t="s">
        <v>162</v>
      </c>
      <c r="B108" s="171" t="s">
        <v>30</v>
      </c>
      <c r="C108" s="403" t="s">
        <v>161</v>
      </c>
      <c r="D108" s="404" t="s">
        <v>69</v>
      </c>
      <c r="E108" s="405" t="s">
        <v>33</v>
      </c>
      <c r="F108" s="406">
        <v>41390</v>
      </c>
      <c r="G108" s="407">
        <v>41460</v>
      </c>
      <c r="H108" s="407">
        <v>41467</v>
      </c>
      <c r="I108" s="178">
        <v>91415.63</v>
      </c>
      <c r="J108" s="178"/>
      <c r="K108" s="178"/>
      <c r="L108" s="415"/>
      <c r="M108" s="411"/>
      <c r="O108" s="400">
        <f t="shared" si="1"/>
        <v>0</v>
      </c>
    </row>
    <row r="109" spans="1:15" s="399" customFormat="1" ht="12.6" thickBot="1">
      <c r="A109" s="402" t="s">
        <v>160</v>
      </c>
      <c r="B109" s="422" t="s">
        <v>28</v>
      </c>
      <c r="C109" s="403" t="s">
        <v>161</v>
      </c>
      <c r="D109" s="404" t="s">
        <v>69</v>
      </c>
      <c r="E109" s="405" t="s">
        <v>33</v>
      </c>
      <c r="F109" s="406">
        <v>41390</v>
      </c>
      <c r="G109" s="407">
        <v>41460</v>
      </c>
      <c r="H109" s="407">
        <v>41494</v>
      </c>
      <c r="I109" s="408">
        <v>61574.1</v>
      </c>
      <c r="J109" s="409">
        <f>SUM(I107:I109)</f>
        <v>252989.73</v>
      </c>
      <c r="K109" s="409">
        <v>190300</v>
      </c>
      <c r="L109" s="410">
        <f>+J109-K109</f>
        <v>62689.73000000001</v>
      </c>
      <c r="M109" s="411"/>
      <c r="O109" s="400">
        <f t="shared" si="1"/>
        <v>0</v>
      </c>
    </row>
    <row r="110" spans="1:15" s="399" customFormat="1" ht="12">
      <c r="A110" s="402" t="s">
        <v>163</v>
      </c>
      <c r="B110" s="171" t="s">
        <v>30</v>
      </c>
      <c r="C110" s="403" t="s">
        <v>164</v>
      </c>
      <c r="D110" s="404" t="s">
        <v>165</v>
      </c>
      <c r="E110" s="405" t="s">
        <v>33</v>
      </c>
      <c r="F110" s="406">
        <v>41409</v>
      </c>
      <c r="G110" s="407">
        <v>41479</v>
      </c>
      <c r="H110" s="407">
        <v>41495</v>
      </c>
      <c r="I110" s="413">
        <v>97536.84</v>
      </c>
      <c r="J110" s="413"/>
      <c r="K110" s="413"/>
      <c r="L110" s="414"/>
      <c r="M110" s="411"/>
      <c r="O110" s="400">
        <f t="shared" si="1"/>
        <v>0</v>
      </c>
    </row>
    <row r="111" spans="1:15" s="399" customFormat="1" ht="12.6" thickBot="1">
      <c r="A111" s="402" t="s">
        <v>166</v>
      </c>
      <c r="B111" s="422" t="s">
        <v>28</v>
      </c>
      <c r="C111" s="403" t="s">
        <v>164</v>
      </c>
      <c r="D111" s="404" t="s">
        <v>165</v>
      </c>
      <c r="E111" s="405" t="s">
        <v>33</v>
      </c>
      <c r="F111" s="406">
        <v>41409</v>
      </c>
      <c r="G111" s="407">
        <v>41479</v>
      </c>
      <c r="H111" s="407">
        <v>41495</v>
      </c>
      <c r="I111" s="427">
        <v>144415.22</v>
      </c>
      <c r="J111" s="427">
        <f>SUM(I110:I111)</f>
        <v>241952.06</v>
      </c>
      <c r="K111" s="409">
        <v>190300</v>
      </c>
      <c r="L111" s="428">
        <f>+J111-K111</f>
        <v>51652.06</v>
      </c>
      <c r="M111" s="411"/>
      <c r="O111" s="400">
        <f t="shared" si="1"/>
        <v>0</v>
      </c>
    </row>
    <row r="112" spans="1:15" s="399" customFormat="1" ht="12.6" thickBot="1">
      <c r="A112" s="402" t="s">
        <v>1359</v>
      </c>
      <c r="B112" s="171" t="s">
        <v>30</v>
      </c>
      <c r="C112" s="403" t="s">
        <v>1361</v>
      </c>
      <c r="D112" s="404" t="s">
        <v>1362</v>
      </c>
      <c r="E112" s="405" t="s">
        <v>33</v>
      </c>
      <c r="F112" s="406">
        <v>41318</v>
      </c>
      <c r="G112" s="407">
        <v>41771</v>
      </c>
      <c r="H112" s="407">
        <v>41788</v>
      </c>
      <c r="I112" s="408">
        <v>39000</v>
      </c>
      <c r="J112" s="409"/>
      <c r="K112" s="409"/>
      <c r="L112" s="410"/>
      <c r="M112" s="411"/>
      <c r="O112" s="400">
        <f t="shared" si="1"/>
        <v>0</v>
      </c>
    </row>
    <row r="113" spans="1:15" s="399" customFormat="1" ht="12">
      <c r="A113" s="402" t="s">
        <v>1360</v>
      </c>
      <c r="B113" s="171" t="s">
        <v>28</v>
      </c>
      <c r="C113" s="403" t="s">
        <v>1361</v>
      </c>
      <c r="D113" s="404" t="s">
        <v>1362</v>
      </c>
      <c r="E113" s="405" t="s">
        <v>33</v>
      </c>
      <c r="F113" s="406">
        <v>41318</v>
      </c>
      <c r="G113" s="407">
        <v>41771</v>
      </c>
      <c r="H113" s="407">
        <v>41788</v>
      </c>
      <c r="I113" s="413">
        <v>215621.74000000002</v>
      </c>
      <c r="J113" s="427">
        <f>SUM(I112:I113)</f>
        <v>254621.74000000002</v>
      </c>
      <c r="K113" s="427">
        <v>190300</v>
      </c>
      <c r="L113" s="428">
        <f>+J113-K113</f>
        <v>64321.74000000002</v>
      </c>
      <c r="M113" s="411"/>
      <c r="O113" s="400">
        <f t="shared" si="1"/>
        <v>0</v>
      </c>
    </row>
    <row r="114" spans="1:15" s="399" customFormat="1" ht="12.6" thickBot="1">
      <c r="A114" s="429" t="s">
        <v>1347</v>
      </c>
      <c r="B114" s="430" t="s">
        <v>23</v>
      </c>
      <c r="C114" s="431" t="s">
        <v>1349</v>
      </c>
      <c r="D114" s="432" t="s">
        <v>1350</v>
      </c>
      <c r="E114" s="433" t="s">
        <v>33</v>
      </c>
      <c r="F114" s="434">
        <v>41585</v>
      </c>
      <c r="G114" s="435">
        <v>41666</v>
      </c>
      <c r="H114" s="435">
        <v>41667</v>
      </c>
      <c r="I114" s="408">
        <v>105000</v>
      </c>
      <c r="J114" s="409"/>
      <c r="K114" s="409"/>
      <c r="L114" s="410"/>
      <c r="M114" s="436"/>
      <c r="O114" s="400">
        <f t="shared" si="1"/>
        <v>0</v>
      </c>
    </row>
    <row r="115" spans="1:15" s="399" customFormat="1" ht="12.6" thickBot="1">
      <c r="A115" s="437" t="s">
        <v>1348</v>
      </c>
      <c r="B115" s="438" t="s">
        <v>28</v>
      </c>
      <c r="C115" s="439" t="s">
        <v>1349</v>
      </c>
      <c r="D115" s="440" t="s">
        <v>1350</v>
      </c>
      <c r="E115" s="440" t="s">
        <v>33</v>
      </c>
      <c r="F115" s="441">
        <v>41585</v>
      </c>
      <c r="G115" s="441">
        <v>41666</v>
      </c>
      <c r="H115" s="441">
        <v>41680</v>
      </c>
      <c r="I115" s="442">
        <v>150000</v>
      </c>
      <c r="J115" s="427">
        <f>SUM(I114:I115)</f>
        <v>255000</v>
      </c>
      <c r="K115" s="427">
        <v>190300</v>
      </c>
      <c r="L115" s="428">
        <f>+J115-K115</f>
        <v>64700</v>
      </c>
      <c r="M115" s="443"/>
      <c r="O115" s="400">
        <f t="shared" si="1"/>
        <v>0</v>
      </c>
    </row>
    <row r="116" spans="1:15" s="399" customFormat="1" ht="12.6" thickBot="1">
      <c r="A116" s="437" t="s">
        <v>167</v>
      </c>
      <c r="B116" s="438" t="s">
        <v>23</v>
      </c>
      <c r="C116" s="439" t="s">
        <v>168</v>
      </c>
      <c r="D116" s="440" t="s">
        <v>38</v>
      </c>
      <c r="E116" s="440" t="s">
        <v>33</v>
      </c>
      <c r="F116" s="441">
        <v>41412</v>
      </c>
      <c r="G116" s="441">
        <v>41460</v>
      </c>
      <c r="H116" s="441">
        <v>41507</v>
      </c>
      <c r="I116" s="442">
        <v>103000</v>
      </c>
      <c r="J116" s="442"/>
      <c r="K116" s="442"/>
      <c r="L116" s="444"/>
      <c r="M116" s="443"/>
      <c r="O116" s="400">
        <f t="shared" si="1"/>
        <v>0</v>
      </c>
    </row>
    <row r="117" spans="1:15" s="399" customFormat="1" ht="12.6" thickBot="1">
      <c r="A117" s="437" t="s">
        <v>169</v>
      </c>
      <c r="B117" s="445" t="s">
        <v>28</v>
      </c>
      <c r="C117" s="439" t="s">
        <v>168</v>
      </c>
      <c r="D117" s="440" t="s">
        <v>38</v>
      </c>
      <c r="E117" s="440" t="s">
        <v>33</v>
      </c>
      <c r="F117" s="441">
        <v>41412</v>
      </c>
      <c r="G117" s="441">
        <v>41460</v>
      </c>
      <c r="H117" s="441">
        <v>41507</v>
      </c>
      <c r="I117" s="442">
        <v>500000</v>
      </c>
      <c r="J117" s="442">
        <f>+I117+I116</f>
        <v>603000</v>
      </c>
      <c r="K117" s="409">
        <v>190300</v>
      </c>
      <c r="L117" s="444">
        <f>+J117-K117</f>
        <v>412700</v>
      </c>
      <c r="M117" s="443"/>
      <c r="O117" s="400">
        <f t="shared" si="1"/>
        <v>0</v>
      </c>
    </row>
    <row r="118" spans="1:15" s="399" customFormat="1" ht="12.6" thickBot="1">
      <c r="A118" s="437" t="s">
        <v>1332</v>
      </c>
      <c r="B118" s="438" t="s">
        <v>30</v>
      </c>
      <c r="C118" s="439" t="s">
        <v>1335</v>
      </c>
      <c r="D118" s="440" t="s">
        <v>1337</v>
      </c>
      <c r="E118" s="440" t="s">
        <v>33</v>
      </c>
      <c r="F118" s="441">
        <v>41582</v>
      </c>
      <c r="G118" s="441">
        <v>41667</v>
      </c>
      <c r="H118" s="441">
        <v>41680</v>
      </c>
      <c r="I118" s="442">
        <v>53000</v>
      </c>
      <c r="J118" s="442"/>
      <c r="K118" s="442"/>
      <c r="L118" s="444"/>
      <c r="M118" s="443"/>
      <c r="O118" s="400">
        <f t="shared" si="1"/>
        <v>0</v>
      </c>
    </row>
    <row r="119" spans="1:15" s="399" customFormat="1" ht="12.6" thickBot="1">
      <c r="A119" s="437" t="s">
        <v>1333</v>
      </c>
      <c r="B119" s="438" t="s">
        <v>28</v>
      </c>
      <c r="C119" s="439" t="s">
        <v>1335</v>
      </c>
      <c r="D119" s="440" t="s">
        <v>1337</v>
      </c>
      <c r="E119" s="440" t="s">
        <v>33</v>
      </c>
      <c r="F119" s="441">
        <v>41582</v>
      </c>
      <c r="G119" s="441">
        <v>41667</v>
      </c>
      <c r="H119" s="441">
        <v>41680</v>
      </c>
      <c r="I119" s="442">
        <v>200000</v>
      </c>
      <c r="J119" s="442"/>
      <c r="K119" s="442"/>
      <c r="L119" s="444"/>
      <c r="M119" s="443"/>
      <c r="O119" s="400">
        <f t="shared" si="1"/>
        <v>0</v>
      </c>
    </row>
    <row r="120" spans="1:15" s="399" customFormat="1" ht="12.6" thickBot="1">
      <c r="A120" s="437" t="s">
        <v>1356</v>
      </c>
      <c r="B120" s="438" t="s">
        <v>28</v>
      </c>
      <c r="C120" s="439" t="s">
        <v>1335</v>
      </c>
      <c r="D120" s="440" t="s">
        <v>1337</v>
      </c>
      <c r="E120" s="440" t="s">
        <v>33</v>
      </c>
      <c r="F120" s="441">
        <v>41582</v>
      </c>
      <c r="G120" s="441">
        <v>41723</v>
      </c>
      <c r="H120" s="441">
        <v>41733</v>
      </c>
      <c r="I120" s="442">
        <v>98823.76</v>
      </c>
      <c r="J120" s="442">
        <f>SUM(I118:I120)</f>
        <v>351823.76</v>
      </c>
      <c r="K120" s="442">
        <v>190300</v>
      </c>
      <c r="L120" s="444">
        <f>+J120-K120</f>
        <v>161523.76</v>
      </c>
      <c r="M120" s="443"/>
      <c r="O120" s="400">
        <f t="shared" si="1"/>
        <v>0</v>
      </c>
    </row>
    <row r="121" spans="1:15" s="399" customFormat="1" ht="12.6" thickBot="1">
      <c r="A121" s="437" t="s">
        <v>170</v>
      </c>
      <c r="B121" s="438" t="s">
        <v>23</v>
      </c>
      <c r="C121" s="439" t="s">
        <v>171</v>
      </c>
      <c r="D121" s="440" t="s">
        <v>38</v>
      </c>
      <c r="E121" s="440" t="s">
        <v>33</v>
      </c>
      <c r="F121" s="441">
        <v>41290</v>
      </c>
      <c r="G121" s="441">
        <v>41319</v>
      </c>
      <c r="H121" s="441">
        <v>41348</v>
      </c>
      <c r="I121" s="442">
        <v>25198.02</v>
      </c>
      <c r="J121" s="442"/>
      <c r="K121" s="442"/>
      <c r="L121" s="444"/>
      <c r="M121" s="443"/>
      <c r="O121" s="400">
        <f t="shared" si="1"/>
        <v>0</v>
      </c>
    </row>
    <row r="122" spans="1:15" s="399" customFormat="1" ht="12.6" thickBot="1">
      <c r="A122" s="437" t="s">
        <v>172</v>
      </c>
      <c r="B122" s="438" t="s">
        <v>50</v>
      </c>
      <c r="C122" s="439" t="s">
        <v>171</v>
      </c>
      <c r="D122" s="440" t="s">
        <v>38</v>
      </c>
      <c r="E122" s="440" t="s">
        <v>33</v>
      </c>
      <c r="F122" s="441">
        <v>41290</v>
      </c>
      <c r="G122" s="441">
        <v>41319</v>
      </c>
      <c r="H122" s="441">
        <v>41348</v>
      </c>
      <c r="I122" s="442">
        <v>15000</v>
      </c>
      <c r="J122" s="442"/>
      <c r="K122" s="442"/>
      <c r="L122" s="444"/>
      <c r="M122" s="443"/>
      <c r="O122" s="400">
        <f t="shared" si="1"/>
        <v>0</v>
      </c>
    </row>
    <row r="123" spans="1:15" s="399" customFormat="1" ht="12.6" thickBot="1">
      <c r="A123" s="437" t="s">
        <v>173</v>
      </c>
      <c r="B123" s="438" t="s">
        <v>174</v>
      </c>
      <c r="C123" s="439" t="s">
        <v>171</v>
      </c>
      <c r="D123" s="440" t="s">
        <v>38</v>
      </c>
      <c r="E123" s="440" t="s">
        <v>33</v>
      </c>
      <c r="F123" s="441">
        <v>41290</v>
      </c>
      <c r="G123" s="441">
        <v>41319</v>
      </c>
      <c r="H123" s="441">
        <v>41348</v>
      </c>
      <c r="I123" s="442">
        <v>100000</v>
      </c>
      <c r="J123" s="442"/>
      <c r="K123" s="442"/>
      <c r="L123" s="444"/>
      <c r="M123" s="443"/>
      <c r="O123" s="400">
        <f t="shared" si="1"/>
        <v>0</v>
      </c>
    </row>
    <row r="124" spans="1:15" s="399" customFormat="1" ht="12.6" thickBot="1">
      <c r="A124" s="437" t="s">
        <v>175</v>
      </c>
      <c r="B124" s="438" t="s">
        <v>36</v>
      </c>
      <c r="C124" s="439" t="s">
        <v>171</v>
      </c>
      <c r="D124" s="440" t="s">
        <v>38</v>
      </c>
      <c r="E124" s="440" t="s">
        <v>33</v>
      </c>
      <c r="F124" s="441">
        <v>41290</v>
      </c>
      <c r="G124" s="441">
        <v>41319</v>
      </c>
      <c r="H124" s="441">
        <v>41348</v>
      </c>
      <c r="I124" s="442">
        <v>61110.64</v>
      </c>
      <c r="J124" s="442">
        <f>SUM(I121:I124)</f>
        <v>201308.66000000003</v>
      </c>
      <c r="K124" s="442">
        <v>190300</v>
      </c>
      <c r="L124" s="444">
        <f>+J124-K124</f>
        <v>11008.660000000033</v>
      </c>
      <c r="M124" s="443"/>
      <c r="O124" s="400">
        <f t="shared" si="1"/>
        <v>0</v>
      </c>
    </row>
    <row r="125" spans="1:15" s="399" customFormat="1" ht="12.6" thickBot="1">
      <c r="A125" s="437" t="s">
        <v>176</v>
      </c>
      <c r="B125" s="438" t="s">
        <v>23</v>
      </c>
      <c r="C125" s="439" t="s">
        <v>177</v>
      </c>
      <c r="D125" s="440" t="s">
        <v>25</v>
      </c>
      <c r="E125" s="440" t="s">
        <v>26</v>
      </c>
      <c r="F125" s="441">
        <v>41477</v>
      </c>
      <c r="G125" s="441">
        <v>41520</v>
      </c>
      <c r="H125" s="441">
        <v>41541</v>
      </c>
      <c r="I125" s="442">
        <v>203000</v>
      </c>
      <c r="J125" s="442"/>
      <c r="K125" s="442"/>
      <c r="L125" s="444"/>
      <c r="M125" s="443"/>
      <c r="O125" s="400">
        <f t="shared" si="1"/>
        <v>0</v>
      </c>
    </row>
    <row r="126" spans="1:15" s="399" customFormat="1" ht="12.6" thickBot="1">
      <c r="A126" s="437" t="s">
        <v>178</v>
      </c>
      <c r="B126" s="445" t="s">
        <v>28</v>
      </c>
      <c r="C126" s="439" t="s">
        <v>177</v>
      </c>
      <c r="D126" s="440" t="s">
        <v>25</v>
      </c>
      <c r="E126" s="440" t="s">
        <v>26</v>
      </c>
      <c r="F126" s="441">
        <v>41477</v>
      </c>
      <c r="G126" s="441">
        <v>41520</v>
      </c>
      <c r="H126" s="441">
        <v>41541</v>
      </c>
      <c r="I126" s="442">
        <v>335635.78</v>
      </c>
      <c r="J126" s="442">
        <f>SUM(I125:I126)</f>
        <v>538635.78</v>
      </c>
      <c r="K126" s="409">
        <v>190300</v>
      </c>
      <c r="L126" s="444">
        <f>+J126-K126</f>
        <v>348335.78</v>
      </c>
      <c r="M126" s="443"/>
      <c r="O126" s="400">
        <f t="shared" si="1"/>
        <v>0</v>
      </c>
    </row>
    <row r="127" spans="1:15" s="399" customFormat="1" ht="12.6" thickBot="1">
      <c r="A127" s="437" t="s">
        <v>179</v>
      </c>
      <c r="B127" s="438" t="s">
        <v>30</v>
      </c>
      <c r="C127" s="439" t="s">
        <v>180</v>
      </c>
      <c r="D127" s="440" t="s">
        <v>181</v>
      </c>
      <c r="E127" s="440" t="s">
        <v>33</v>
      </c>
      <c r="F127" s="441">
        <v>41433</v>
      </c>
      <c r="G127" s="441">
        <v>41557</v>
      </c>
      <c r="H127" s="441">
        <v>41561</v>
      </c>
      <c r="I127" s="442">
        <v>7288.48</v>
      </c>
      <c r="J127" s="442"/>
      <c r="K127" s="442"/>
      <c r="L127" s="444"/>
      <c r="M127" s="443"/>
      <c r="O127" s="400">
        <f t="shared" si="1"/>
        <v>0</v>
      </c>
    </row>
    <row r="128" spans="1:15" s="399" customFormat="1" ht="12.6" thickBot="1">
      <c r="A128" s="437" t="s">
        <v>182</v>
      </c>
      <c r="B128" s="445" t="s">
        <v>28</v>
      </c>
      <c r="C128" s="439" t="s">
        <v>180</v>
      </c>
      <c r="D128" s="440" t="s">
        <v>181</v>
      </c>
      <c r="E128" s="440" t="s">
        <v>33</v>
      </c>
      <c r="F128" s="441">
        <v>41433</v>
      </c>
      <c r="G128" s="441">
        <v>41557</v>
      </c>
      <c r="H128" s="441">
        <v>41561</v>
      </c>
      <c r="I128" s="442">
        <v>195293.42</v>
      </c>
      <c r="J128" s="442">
        <f>SUM(I127:I128)</f>
        <v>202581.90000000002</v>
      </c>
      <c r="K128" s="442">
        <v>190300</v>
      </c>
      <c r="L128" s="444">
        <f>+J128-K128</f>
        <v>12281.900000000023</v>
      </c>
      <c r="M128" s="443"/>
      <c r="O128" s="400">
        <f t="shared" si="1"/>
        <v>0</v>
      </c>
    </row>
    <row r="129" spans="1:15" s="399" customFormat="1" ht="12.6" thickBot="1">
      <c r="A129" s="437" t="s">
        <v>183</v>
      </c>
      <c r="B129" s="438" t="s">
        <v>140</v>
      </c>
      <c r="C129" s="439" t="s">
        <v>184</v>
      </c>
      <c r="D129" s="440" t="s">
        <v>25</v>
      </c>
      <c r="E129" s="440" t="s">
        <v>26</v>
      </c>
      <c r="F129" s="441">
        <v>41520</v>
      </c>
      <c r="G129" s="441">
        <v>41565</v>
      </c>
      <c r="H129" s="441">
        <v>41569</v>
      </c>
      <c r="I129" s="442">
        <v>630000</v>
      </c>
      <c r="J129" s="442"/>
      <c r="K129" s="442"/>
      <c r="L129" s="444"/>
      <c r="M129" s="443"/>
      <c r="O129" s="400">
        <f t="shared" si="1"/>
        <v>0</v>
      </c>
    </row>
    <row r="130" spans="1:15" s="399" customFormat="1" ht="12.6" thickBot="1">
      <c r="A130" s="437" t="s">
        <v>185</v>
      </c>
      <c r="B130" s="445" t="s">
        <v>28</v>
      </c>
      <c r="C130" s="439" t="s">
        <v>184</v>
      </c>
      <c r="D130" s="440" t="s">
        <v>25</v>
      </c>
      <c r="E130" s="440" t="s">
        <v>26</v>
      </c>
      <c r="F130" s="441">
        <v>41520</v>
      </c>
      <c r="G130" s="441">
        <v>41575</v>
      </c>
      <c r="H130" s="441">
        <v>41585</v>
      </c>
      <c r="I130" s="442">
        <v>38294.07</v>
      </c>
      <c r="J130" s="442"/>
      <c r="K130" s="442"/>
      <c r="L130" s="444"/>
      <c r="M130" s="443"/>
      <c r="O130" s="400">
        <f t="shared" si="1"/>
        <v>0</v>
      </c>
    </row>
    <row r="131" spans="1:15" s="399" customFormat="1" ht="12.6" thickBot="1">
      <c r="A131" s="437" t="s">
        <v>186</v>
      </c>
      <c r="B131" s="445" t="s">
        <v>28</v>
      </c>
      <c r="C131" s="439" t="s">
        <v>184</v>
      </c>
      <c r="D131" s="440" t="s">
        <v>25</v>
      </c>
      <c r="E131" s="440" t="s">
        <v>26</v>
      </c>
      <c r="F131" s="441">
        <v>41520</v>
      </c>
      <c r="G131" s="441">
        <v>41570</v>
      </c>
      <c r="H131" s="441">
        <v>41583</v>
      </c>
      <c r="I131" s="442">
        <v>68202.720000000001</v>
      </c>
      <c r="J131" s="442"/>
      <c r="K131" s="442"/>
      <c r="L131" s="444"/>
      <c r="M131" s="443"/>
      <c r="O131" s="400">
        <f t="shared" si="1"/>
        <v>0</v>
      </c>
    </row>
    <row r="132" spans="1:15" s="399" customFormat="1" ht="12.6" thickBot="1">
      <c r="A132" s="437" t="s">
        <v>187</v>
      </c>
      <c r="B132" s="438" t="s">
        <v>23</v>
      </c>
      <c r="C132" s="439" t="s">
        <v>184</v>
      </c>
      <c r="D132" s="440" t="s">
        <v>25</v>
      </c>
      <c r="E132" s="440" t="s">
        <v>26</v>
      </c>
      <c r="F132" s="441">
        <v>41520</v>
      </c>
      <c r="G132" s="441">
        <v>41627</v>
      </c>
      <c r="H132" s="441">
        <v>41632</v>
      </c>
      <c r="I132" s="442">
        <v>19657.84</v>
      </c>
      <c r="J132" s="442">
        <f>SUM(I129:I132)</f>
        <v>756154.62999999989</v>
      </c>
      <c r="K132" s="409">
        <v>190300</v>
      </c>
      <c r="L132" s="444">
        <f>+J132-K132</f>
        <v>565854.62999999989</v>
      </c>
      <c r="M132" s="443"/>
      <c r="O132" s="400">
        <f t="shared" si="1"/>
        <v>34450.629999999888</v>
      </c>
    </row>
    <row r="133" spans="1:15" s="399" customFormat="1" ht="12.6" thickBot="1">
      <c r="A133" s="437" t="s">
        <v>188</v>
      </c>
      <c r="B133" s="438" t="s">
        <v>36</v>
      </c>
      <c r="C133" s="439" t="s">
        <v>189</v>
      </c>
      <c r="D133" s="440" t="s">
        <v>38</v>
      </c>
      <c r="E133" s="440" t="s">
        <v>33</v>
      </c>
      <c r="F133" s="441">
        <v>41405</v>
      </c>
      <c r="G133" s="441">
        <v>41451</v>
      </c>
      <c r="H133" s="441">
        <v>41460</v>
      </c>
      <c r="I133" s="442">
        <v>391227.82</v>
      </c>
      <c r="J133" s="442">
        <f>+I133</f>
        <v>391227.82</v>
      </c>
      <c r="K133" s="442">
        <v>190300</v>
      </c>
      <c r="L133" s="444">
        <f>+J133-K133</f>
        <v>200927.82</v>
      </c>
      <c r="M133" s="443"/>
      <c r="O133" s="400">
        <f t="shared" si="1"/>
        <v>0</v>
      </c>
    </row>
    <row r="134" spans="1:15" s="399" customFormat="1" ht="12.6" thickBot="1">
      <c r="A134" s="437" t="s">
        <v>190</v>
      </c>
      <c r="B134" s="438" t="s">
        <v>23</v>
      </c>
      <c r="C134" s="439" t="s">
        <v>191</v>
      </c>
      <c r="D134" s="440" t="s">
        <v>192</v>
      </c>
      <c r="E134" s="440" t="s">
        <v>33</v>
      </c>
      <c r="F134" s="441">
        <v>41396</v>
      </c>
      <c r="G134" s="441">
        <v>41428</v>
      </c>
      <c r="H134" s="441">
        <v>41457</v>
      </c>
      <c r="I134" s="442">
        <v>217081.22999999998</v>
      </c>
      <c r="J134" s="442"/>
      <c r="K134" s="442"/>
      <c r="L134" s="444"/>
      <c r="M134" s="443"/>
      <c r="O134" s="400">
        <f t="shared" si="1"/>
        <v>0</v>
      </c>
    </row>
    <row r="135" spans="1:15" s="399" customFormat="1" ht="12.6" thickBot="1">
      <c r="A135" s="437" t="s">
        <v>193</v>
      </c>
      <c r="B135" s="445" t="s">
        <v>28</v>
      </c>
      <c r="C135" s="439" t="s">
        <v>191</v>
      </c>
      <c r="D135" s="440" t="s">
        <v>192</v>
      </c>
      <c r="E135" s="440" t="s">
        <v>33</v>
      </c>
      <c r="F135" s="441">
        <v>41396</v>
      </c>
      <c r="G135" s="441">
        <v>41428</v>
      </c>
      <c r="H135" s="441">
        <v>41457</v>
      </c>
      <c r="I135" s="442">
        <v>100000</v>
      </c>
      <c r="J135" s="442"/>
      <c r="K135" s="442"/>
      <c r="L135" s="444"/>
      <c r="M135" s="443"/>
      <c r="O135" s="400">
        <f t="shared" si="1"/>
        <v>0</v>
      </c>
    </row>
    <row r="136" spans="1:15" s="399" customFormat="1" ht="12.6" thickBot="1">
      <c r="A136" s="437" t="s">
        <v>194</v>
      </c>
      <c r="B136" s="438" t="s">
        <v>50</v>
      </c>
      <c r="C136" s="439" t="s">
        <v>191</v>
      </c>
      <c r="D136" s="440" t="s">
        <v>192</v>
      </c>
      <c r="E136" s="440" t="s">
        <v>33</v>
      </c>
      <c r="F136" s="441">
        <v>41396</v>
      </c>
      <c r="G136" s="441">
        <v>41428</v>
      </c>
      <c r="H136" s="441">
        <v>41457</v>
      </c>
      <c r="I136" s="442">
        <v>15000</v>
      </c>
      <c r="J136" s="442">
        <f>SUM(I134:I136)</f>
        <v>332081.23</v>
      </c>
      <c r="K136" s="442">
        <v>190300</v>
      </c>
      <c r="L136" s="444">
        <f>+J136-K136</f>
        <v>141781.22999999998</v>
      </c>
      <c r="M136" s="443"/>
      <c r="O136" s="400">
        <f t="shared" si="1"/>
        <v>0</v>
      </c>
    </row>
    <row r="137" spans="1:15" s="399" customFormat="1" ht="12.6" thickBot="1">
      <c r="A137" s="437" t="s">
        <v>1363</v>
      </c>
      <c r="B137" s="438" t="s">
        <v>23</v>
      </c>
      <c r="C137" s="439" t="s">
        <v>1369</v>
      </c>
      <c r="D137" s="440" t="s">
        <v>38</v>
      </c>
      <c r="E137" s="440" t="s">
        <v>33</v>
      </c>
      <c r="F137" s="441">
        <v>41420</v>
      </c>
      <c r="G137" s="441">
        <v>41810</v>
      </c>
      <c r="H137" s="441">
        <v>41824</v>
      </c>
      <c r="I137" s="442">
        <v>28623.439999999999</v>
      </c>
      <c r="J137" s="442"/>
      <c r="K137" s="442"/>
      <c r="L137" s="444"/>
      <c r="M137" s="443"/>
      <c r="O137" s="400">
        <f t="shared" si="1"/>
        <v>0</v>
      </c>
    </row>
    <row r="138" spans="1:15" s="399" customFormat="1" ht="12.6" thickBot="1">
      <c r="A138" s="437" t="s">
        <v>1368</v>
      </c>
      <c r="B138" s="438" t="s">
        <v>28</v>
      </c>
      <c r="C138" s="439" t="s">
        <v>1369</v>
      </c>
      <c r="D138" s="440" t="s">
        <v>38</v>
      </c>
      <c r="E138" s="440" t="s">
        <v>33</v>
      </c>
      <c r="F138" s="441">
        <v>41420</v>
      </c>
      <c r="G138" s="441">
        <v>41810</v>
      </c>
      <c r="H138" s="441">
        <v>41824</v>
      </c>
      <c r="I138" s="442">
        <v>180000</v>
      </c>
      <c r="J138" s="442">
        <f>+I138+I137</f>
        <v>208623.44</v>
      </c>
      <c r="K138" s="442">
        <v>190300</v>
      </c>
      <c r="L138" s="444">
        <f>+J138-K138</f>
        <v>18323.440000000002</v>
      </c>
      <c r="M138" s="443"/>
      <c r="O138" s="400">
        <f t="shared" si="1"/>
        <v>0</v>
      </c>
    </row>
    <row r="139" spans="1:15" s="399" customFormat="1" ht="12.6" thickBot="1">
      <c r="A139" s="437" t="s">
        <v>1357</v>
      </c>
      <c r="B139" s="438" t="s">
        <v>36</v>
      </c>
      <c r="C139" s="439" t="s">
        <v>1358</v>
      </c>
      <c r="D139" s="440" t="s">
        <v>415</v>
      </c>
      <c r="E139" s="440" t="s">
        <v>33</v>
      </c>
      <c r="F139" s="441">
        <v>41557</v>
      </c>
      <c r="G139" s="441">
        <v>41647</v>
      </c>
      <c r="H139" s="441">
        <v>41743</v>
      </c>
      <c r="I139" s="442">
        <v>333491.34000000003</v>
      </c>
      <c r="J139" s="442"/>
      <c r="K139" s="442"/>
      <c r="L139" s="444"/>
      <c r="M139" s="443"/>
      <c r="O139" s="400">
        <f t="shared" si="1"/>
        <v>0</v>
      </c>
    </row>
    <row r="140" spans="1:15" s="399" customFormat="1" ht="12.6" thickBot="1">
      <c r="A140" s="437" t="s">
        <v>1357</v>
      </c>
      <c r="B140" s="438" t="s">
        <v>36</v>
      </c>
      <c r="C140" s="439" t="s">
        <v>1358</v>
      </c>
      <c r="D140" s="440" t="s">
        <v>415</v>
      </c>
      <c r="E140" s="440" t="s">
        <v>33</v>
      </c>
      <c r="F140" s="441">
        <v>41557</v>
      </c>
      <c r="G140" s="441">
        <v>41647</v>
      </c>
      <c r="H140" s="441">
        <v>41743</v>
      </c>
      <c r="I140" s="442">
        <v>119700</v>
      </c>
      <c r="J140" s="442">
        <f>+I140+I139</f>
        <v>453191.34</v>
      </c>
      <c r="K140" s="442">
        <v>190300</v>
      </c>
      <c r="L140" s="444">
        <f>+J140-K140</f>
        <v>262891.34000000003</v>
      </c>
      <c r="M140" s="443"/>
      <c r="O140" s="400">
        <f t="shared" ref="O140:O155" si="2">IF($J140&gt;P$8,$J140-P$8,0)</f>
        <v>0</v>
      </c>
    </row>
    <row r="141" spans="1:15" s="399" customFormat="1" ht="12.6" thickBot="1">
      <c r="A141" s="437" t="s">
        <v>195</v>
      </c>
      <c r="B141" s="438" t="s">
        <v>23</v>
      </c>
      <c r="C141" s="439" t="s">
        <v>196</v>
      </c>
      <c r="D141" s="440" t="s">
        <v>38</v>
      </c>
      <c r="E141" s="440" t="s">
        <v>33</v>
      </c>
      <c r="F141" s="441">
        <v>41471</v>
      </c>
      <c r="G141" s="441">
        <v>41520</v>
      </c>
      <c r="H141" s="441">
        <v>41527</v>
      </c>
      <c r="I141" s="442">
        <v>210426.51</v>
      </c>
      <c r="J141" s="442"/>
      <c r="K141" s="442"/>
      <c r="L141" s="444"/>
      <c r="M141" s="443"/>
      <c r="O141" s="400">
        <f t="shared" si="2"/>
        <v>0</v>
      </c>
    </row>
    <row r="142" spans="1:15" s="399" customFormat="1" ht="12.6" thickBot="1">
      <c r="A142" s="437" t="s">
        <v>197</v>
      </c>
      <c r="B142" s="445" t="s">
        <v>28</v>
      </c>
      <c r="C142" s="439" t="s">
        <v>196</v>
      </c>
      <c r="D142" s="440" t="s">
        <v>38</v>
      </c>
      <c r="E142" s="440" t="s">
        <v>33</v>
      </c>
      <c r="F142" s="441">
        <v>41471</v>
      </c>
      <c r="G142" s="441">
        <v>41520</v>
      </c>
      <c r="H142" s="441">
        <v>41527</v>
      </c>
      <c r="I142" s="442">
        <v>500000</v>
      </c>
      <c r="J142" s="442">
        <f>+I142+I141</f>
        <v>710426.51</v>
      </c>
      <c r="K142" s="409">
        <v>190300</v>
      </c>
      <c r="L142" s="444">
        <f>+J142-K142</f>
        <v>520126.51</v>
      </c>
      <c r="M142" s="443"/>
      <c r="O142" s="400">
        <f t="shared" si="2"/>
        <v>0</v>
      </c>
    </row>
    <row r="143" spans="1:15" s="399" customFormat="1" ht="12.6" thickBot="1">
      <c r="A143" s="437" t="s">
        <v>198</v>
      </c>
      <c r="B143" s="438" t="s">
        <v>23</v>
      </c>
      <c r="C143" s="439" t="s">
        <v>199</v>
      </c>
      <c r="D143" s="440" t="s">
        <v>200</v>
      </c>
      <c r="E143" s="440" t="s">
        <v>33</v>
      </c>
      <c r="F143" s="441">
        <v>41353</v>
      </c>
      <c r="G143" s="441">
        <v>41381</v>
      </c>
      <c r="H143" s="441">
        <v>41408</v>
      </c>
      <c r="I143" s="442">
        <v>84130</v>
      </c>
      <c r="J143" s="442"/>
      <c r="K143" s="442"/>
      <c r="L143" s="444"/>
      <c r="M143" s="443"/>
      <c r="O143" s="400">
        <f t="shared" si="2"/>
        <v>0</v>
      </c>
    </row>
    <row r="144" spans="1:15" s="399" customFormat="1" ht="12.6" thickBot="1">
      <c r="A144" s="437" t="s">
        <v>201</v>
      </c>
      <c r="B144" s="438" t="s">
        <v>174</v>
      </c>
      <c r="C144" s="439" t="s">
        <v>199</v>
      </c>
      <c r="D144" s="440" t="s">
        <v>200</v>
      </c>
      <c r="E144" s="440" t="s">
        <v>33</v>
      </c>
      <c r="F144" s="441">
        <v>41353</v>
      </c>
      <c r="G144" s="441">
        <v>41381</v>
      </c>
      <c r="H144" s="441">
        <v>41450</v>
      </c>
      <c r="I144" s="442">
        <v>469377.54</v>
      </c>
      <c r="J144" s="442">
        <f>+I144+I143</f>
        <v>553507.54</v>
      </c>
      <c r="K144" s="409">
        <v>190300</v>
      </c>
      <c r="L144" s="444">
        <f>+J144-K144</f>
        <v>363207.54000000004</v>
      </c>
      <c r="M144" s="443"/>
      <c r="O144" s="400">
        <f t="shared" si="2"/>
        <v>0</v>
      </c>
    </row>
    <row r="145" spans="1:15" s="399" customFormat="1" ht="12.6" thickBot="1">
      <c r="A145" s="437" t="s">
        <v>1378</v>
      </c>
      <c r="B145" s="438" t="s">
        <v>30</v>
      </c>
      <c r="C145" s="439" t="s">
        <v>1381</v>
      </c>
      <c r="D145" s="440" t="s">
        <v>38</v>
      </c>
      <c r="E145" s="440" t="s">
        <v>33</v>
      </c>
      <c r="F145" s="441">
        <v>41458</v>
      </c>
      <c r="G145" s="441">
        <v>41946</v>
      </c>
      <c r="H145" s="441">
        <v>41955</v>
      </c>
      <c r="I145" s="442">
        <v>153000</v>
      </c>
      <c r="J145" s="442"/>
      <c r="K145" s="442"/>
      <c r="L145" s="444"/>
      <c r="M145" s="443"/>
      <c r="O145" s="400">
        <f t="shared" si="2"/>
        <v>0</v>
      </c>
    </row>
    <row r="146" spans="1:15" s="399" customFormat="1" ht="12.6" thickBot="1">
      <c r="A146" s="437" t="s">
        <v>1379</v>
      </c>
      <c r="B146" s="438" t="s">
        <v>28</v>
      </c>
      <c r="C146" s="439" t="s">
        <v>1381</v>
      </c>
      <c r="D146" s="440" t="s">
        <v>38</v>
      </c>
      <c r="E146" s="440" t="s">
        <v>33</v>
      </c>
      <c r="F146" s="441">
        <v>41458</v>
      </c>
      <c r="G146" s="441">
        <v>41946</v>
      </c>
      <c r="H146" s="441">
        <v>41955</v>
      </c>
      <c r="I146" s="442">
        <v>43453.15</v>
      </c>
      <c r="J146" s="442">
        <f>+I146+I145</f>
        <v>196453.15</v>
      </c>
      <c r="K146" s="442">
        <v>190300</v>
      </c>
      <c r="L146" s="444">
        <f>+J146-K146</f>
        <v>6153.1499999999942</v>
      </c>
      <c r="M146" s="443"/>
      <c r="O146" s="400">
        <f t="shared" si="2"/>
        <v>0</v>
      </c>
    </row>
    <row r="147" spans="1:15" s="399" customFormat="1" ht="12.6" thickBot="1">
      <c r="A147" s="437" t="s">
        <v>202</v>
      </c>
      <c r="B147" s="445" t="s">
        <v>28</v>
      </c>
      <c r="C147" s="439" t="s">
        <v>203</v>
      </c>
      <c r="D147" s="440" t="s">
        <v>59</v>
      </c>
      <c r="E147" s="440" t="s">
        <v>33</v>
      </c>
      <c r="F147" s="441">
        <v>41438</v>
      </c>
      <c r="G147" s="441">
        <v>41505</v>
      </c>
      <c r="H147" s="441">
        <v>41514</v>
      </c>
      <c r="I147" s="442">
        <v>364482.73</v>
      </c>
      <c r="J147" s="442"/>
      <c r="K147" s="442"/>
      <c r="L147" s="444"/>
      <c r="M147" s="443"/>
      <c r="O147" s="400">
        <f t="shared" si="2"/>
        <v>0</v>
      </c>
    </row>
    <row r="148" spans="1:15" s="399" customFormat="1" ht="12.6" thickBot="1">
      <c r="A148" s="446" t="s">
        <v>204</v>
      </c>
      <c r="B148" s="438" t="s">
        <v>23</v>
      </c>
      <c r="C148" s="447" t="s">
        <v>203</v>
      </c>
      <c r="D148" s="448" t="s">
        <v>59</v>
      </c>
      <c r="E148" s="448" t="s">
        <v>33</v>
      </c>
      <c r="F148" s="449">
        <v>41438</v>
      </c>
      <c r="G148" s="449">
        <v>41461</v>
      </c>
      <c r="H148" s="449">
        <v>41472</v>
      </c>
      <c r="I148" s="450">
        <v>3856.28</v>
      </c>
      <c r="J148" s="450"/>
      <c r="K148" s="442"/>
      <c r="L148" s="451"/>
      <c r="M148" s="452"/>
      <c r="O148" s="400">
        <f t="shared" si="2"/>
        <v>0</v>
      </c>
    </row>
    <row r="149" spans="1:15" s="399" customFormat="1" ht="12.6" thickBot="1">
      <c r="A149" s="446" t="s">
        <v>205</v>
      </c>
      <c r="B149" s="445" t="s">
        <v>28</v>
      </c>
      <c r="C149" s="447" t="s">
        <v>203</v>
      </c>
      <c r="D149" s="448" t="s">
        <v>59</v>
      </c>
      <c r="E149" s="448" t="s">
        <v>33</v>
      </c>
      <c r="F149" s="449">
        <v>41438</v>
      </c>
      <c r="G149" s="449">
        <v>41461</v>
      </c>
      <c r="H149" s="449">
        <v>41472</v>
      </c>
      <c r="I149" s="450">
        <v>14727.21</v>
      </c>
      <c r="J149" s="450"/>
      <c r="K149" s="442"/>
      <c r="L149" s="451"/>
      <c r="M149" s="452"/>
      <c r="O149" s="400">
        <f t="shared" si="2"/>
        <v>0</v>
      </c>
    </row>
    <row r="150" spans="1:15" s="399" customFormat="1" ht="12.6" thickBot="1">
      <c r="A150" s="437" t="s">
        <v>206</v>
      </c>
      <c r="B150" s="438" t="s">
        <v>50</v>
      </c>
      <c r="C150" s="439" t="s">
        <v>203</v>
      </c>
      <c r="D150" s="440" t="s">
        <v>59</v>
      </c>
      <c r="E150" s="440" t="s">
        <v>33</v>
      </c>
      <c r="F150" s="441">
        <v>41438</v>
      </c>
      <c r="G150" s="441">
        <v>41461</v>
      </c>
      <c r="H150" s="441">
        <v>41472</v>
      </c>
      <c r="I150" s="442">
        <v>5000</v>
      </c>
      <c r="J150" s="442">
        <f>SUM(I147:I150)</f>
        <v>388066.22000000003</v>
      </c>
      <c r="K150" s="442">
        <v>190300</v>
      </c>
      <c r="L150" s="444">
        <f>+J150-K150</f>
        <v>197766.22000000003</v>
      </c>
      <c r="M150" s="443"/>
      <c r="O150" s="400">
        <f t="shared" si="2"/>
        <v>0</v>
      </c>
    </row>
    <row r="151" spans="1:15" s="399" customFormat="1" ht="12.6" thickBot="1">
      <c r="A151" s="437" t="s">
        <v>207</v>
      </c>
      <c r="B151" s="438" t="s">
        <v>23</v>
      </c>
      <c r="C151" s="439" t="s">
        <v>208</v>
      </c>
      <c r="D151" s="440" t="s">
        <v>209</v>
      </c>
      <c r="E151" s="440" t="s">
        <v>33</v>
      </c>
      <c r="F151" s="441">
        <v>41386</v>
      </c>
      <c r="G151" s="441">
        <v>41512</v>
      </c>
      <c r="H151" s="441">
        <v>41527</v>
      </c>
      <c r="I151" s="442">
        <v>44531.56</v>
      </c>
      <c r="J151" s="442"/>
      <c r="K151" s="442"/>
      <c r="L151" s="444"/>
      <c r="M151" s="443"/>
      <c r="O151" s="400">
        <f t="shared" si="2"/>
        <v>0</v>
      </c>
    </row>
    <row r="152" spans="1:15" s="399" customFormat="1" ht="12.6" thickBot="1">
      <c r="A152" s="437" t="s">
        <v>210</v>
      </c>
      <c r="B152" s="438" t="s">
        <v>28</v>
      </c>
      <c r="C152" s="439" t="s">
        <v>208</v>
      </c>
      <c r="D152" s="440" t="s">
        <v>209</v>
      </c>
      <c r="E152" s="440" t="s">
        <v>33</v>
      </c>
      <c r="F152" s="441">
        <v>41386</v>
      </c>
      <c r="G152" s="441">
        <v>41611</v>
      </c>
      <c r="H152" s="441">
        <v>41613</v>
      </c>
      <c r="I152" s="442">
        <v>71212.789999999994</v>
      </c>
      <c r="J152" s="442"/>
      <c r="K152" s="442"/>
      <c r="L152" s="444"/>
      <c r="M152" s="443"/>
      <c r="O152" s="400">
        <f t="shared" si="2"/>
        <v>0</v>
      </c>
    </row>
    <row r="153" spans="1:15" s="399" customFormat="1" ht="12.6" thickBot="1">
      <c r="A153" s="437" t="s">
        <v>211</v>
      </c>
      <c r="B153" s="445" t="s">
        <v>28</v>
      </c>
      <c r="C153" s="439" t="s">
        <v>208</v>
      </c>
      <c r="D153" s="440" t="s">
        <v>209</v>
      </c>
      <c r="E153" s="440" t="s">
        <v>33</v>
      </c>
      <c r="F153" s="441">
        <v>41386</v>
      </c>
      <c r="G153" s="441">
        <v>41512</v>
      </c>
      <c r="H153" s="441">
        <v>41556</v>
      </c>
      <c r="I153" s="442">
        <v>149000</v>
      </c>
      <c r="J153" s="442">
        <f>SUM(I151:I153)</f>
        <v>264744.34999999998</v>
      </c>
      <c r="K153" s="442">
        <v>190300</v>
      </c>
      <c r="L153" s="444">
        <f>+J153-K153</f>
        <v>74444.349999999977</v>
      </c>
      <c r="M153" s="443"/>
      <c r="O153" s="400">
        <f t="shared" si="2"/>
        <v>0</v>
      </c>
    </row>
    <row r="154" spans="1:15" s="399" customFormat="1" ht="12.6" thickBot="1">
      <c r="A154" s="437" t="s">
        <v>212</v>
      </c>
      <c r="B154" s="438" t="s">
        <v>23</v>
      </c>
      <c r="C154" s="439" t="s">
        <v>213</v>
      </c>
      <c r="D154" s="440" t="s">
        <v>38</v>
      </c>
      <c r="E154" s="440" t="s">
        <v>33</v>
      </c>
      <c r="F154" s="441">
        <v>41508</v>
      </c>
      <c r="G154" s="441">
        <v>41548</v>
      </c>
      <c r="H154" s="441">
        <v>41563</v>
      </c>
      <c r="I154" s="442">
        <v>37129.620000000003</v>
      </c>
      <c r="J154" s="442"/>
      <c r="K154" s="442"/>
      <c r="L154" s="444"/>
      <c r="M154" s="443"/>
      <c r="O154" s="400">
        <f t="shared" si="2"/>
        <v>0</v>
      </c>
    </row>
    <row r="155" spans="1:15" s="399" customFormat="1" ht="12.6" thickBot="1">
      <c r="A155" s="437" t="s">
        <v>214</v>
      </c>
      <c r="B155" s="438" t="s">
        <v>28</v>
      </c>
      <c r="C155" s="439" t="s">
        <v>213</v>
      </c>
      <c r="D155" s="440" t="s">
        <v>38</v>
      </c>
      <c r="E155" s="440" t="s">
        <v>33</v>
      </c>
      <c r="F155" s="441">
        <v>41508</v>
      </c>
      <c r="G155" s="441">
        <v>41548</v>
      </c>
      <c r="H155" s="441">
        <v>41563</v>
      </c>
      <c r="I155" s="442">
        <v>240000</v>
      </c>
      <c r="J155" s="442">
        <f>+I155+I154</f>
        <v>277129.62</v>
      </c>
      <c r="K155" s="442">
        <v>190300</v>
      </c>
      <c r="L155" s="444">
        <f>+J155-K155</f>
        <v>86829.62</v>
      </c>
      <c r="M155" s="443"/>
      <c r="O155" s="400">
        <f t="shared" si="2"/>
        <v>0</v>
      </c>
    </row>
    <row r="156" spans="1:15" ht="15" thickBot="1">
      <c r="A156" s="240"/>
      <c r="B156" s="240"/>
      <c r="C156" s="240"/>
      <c r="D156" s="240"/>
      <c r="E156" s="240"/>
      <c r="F156" s="240"/>
      <c r="G156" s="240"/>
      <c r="H156" s="240" t="s">
        <v>215</v>
      </c>
      <c r="I156" s="241">
        <f>SUM(I10:I155)</f>
        <v>27023576.720000006</v>
      </c>
      <c r="J156" s="241">
        <f>SUM(J10:J155)</f>
        <v>27023576.720000003</v>
      </c>
      <c r="K156" s="263">
        <f>SUM(K10:K155)</f>
        <v>12369500</v>
      </c>
      <c r="L156" s="241">
        <f>SUM(L10:L155)</f>
        <v>14654076.719999995</v>
      </c>
      <c r="M156" s="241">
        <f>SUM(M9:M114)</f>
        <v>0</v>
      </c>
      <c r="O156" s="264">
        <f>SUM(O10:O155)</f>
        <v>2527509.71</v>
      </c>
    </row>
    <row r="157" spans="1:15">
      <c r="A157" s="243"/>
      <c r="B157" s="243"/>
      <c r="C157" s="243"/>
      <c r="D157" s="243"/>
      <c r="E157" s="243"/>
      <c r="F157" s="243"/>
      <c r="G157" s="243"/>
      <c r="H157" s="243"/>
      <c r="I157" s="243"/>
      <c r="J157" s="243"/>
      <c r="K157" s="265"/>
      <c r="L157" s="244"/>
      <c r="M157" s="182"/>
    </row>
    <row r="158" spans="1:15" ht="15.6">
      <c r="A158" s="246"/>
      <c r="B158" s="246"/>
      <c r="C158" s="247"/>
      <c r="D158" s="247"/>
      <c r="E158" s="247"/>
      <c r="F158" s="247"/>
      <c r="G158" s="247"/>
      <c r="H158" s="247"/>
      <c r="I158" s="248"/>
      <c r="J158" s="247"/>
      <c r="K158" s="247"/>
      <c r="L158" s="99"/>
    </row>
    <row r="159" spans="1:15" ht="15.6">
      <c r="A159" s="246"/>
      <c r="E159" s="249"/>
      <c r="F159" s="247"/>
      <c r="G159" s="247"/>
      <c r="H159" s="247"/>
      <c r="I159" s="247"/>
      <c r="J159" s="247"/>
      <c r="K159" s="247"/>
      <c r="L159" s="255"/>
    </row>
    <row r="160" spans="1:15">
      <c r="E160" s="247"/>
      <c r="F160" s="247"/>
      <c r="G160" s="247"/>
      <c r="H160" s="247"/>
      <c r="I160" s="247"/>
      <c r="J160" s="247"/>
      <c r="K160" s="247"/>
      <c r="L160" s="99"/>
    </row>
    <row r="161" spans="1:7">
      <c r="A161" s="250" t="s">
        <v>216</v>
      </c>
      <c r="B161" s="72" t="s">
        <v>217</v>
      </c>
    </row>
    <row r="163" spans="1:7">
      <c r="B163" s="243"/>
      <c r="C163" s="243"/>
      <c r="D163" s="243"/>
    </row>
    <row r="164" spans="1:7" ht="15.6">
      <c r="B164" s="246"/>
      <c r="C164" s="247"/>
      <c r="D164" s="247"/>
      <c r="G164" s="266"/>
    </row>
    <row r="165" spans="1:7" ht="15.6">
      <c r="B165" s="246"/>
      <c r="C165" s="247"/>
      <c r="D165" s="247"/>
      <c r="G165" s="266"/>
    </row>
    <row r="166" spans="1:7">
      <c r="B166" s="267"/>
      <c r="C166" s="247"/>
      <c r="D166" s="247"/>
      <c r="G166" s="266"/>
    </row>
  </sheetData>
  <autoFilter ref="A9:M156" xr:uid="{00000000-0009-0000-0000-000003000000}"/>
  <sortState xmlns:xlrd2="http://schemas.microsoft.com/office/spreadsheetml/2017/richdata2" ref="A10:M162">
    <sortCondition ref="C10:C162"/>
  </sortState>
  <mergeCells count="6">
    <mergeCell ref="A8:M8"/>
    <mergeCell ref="A3:B3"/>
    <mergeCell ref="A4:B4"/>
    <mergeCell ref="A5:B5"/>
    <mergeCell ref="A6:M6"/>
    <mergeCell ref="A7:M7"/>
  </mergeCells>
  <pageMargins left="0.7" right="0.7" top="0.75" bottom="0.75" header="0.3" footer="0.3"/>
  <pageSetup orientation="portrait" horizontalDpi="4294967293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showGridLines="0" zoomScale="98" zoomScaleNormal="98" workbookViewId="0">
      <selection activeCell="A9" sqref="A9"/>
    </sheetView>
  </sheetViews>
  <sheetFormatPr baseColWidth="10" defaultRowHeight="14.4"/>
  <cols>
    <col min="1" max="1" width="19.33203125" style="72" bestFit="1" customWidth="1"/>
    <col min="2" max="2" width="24.6640625" style="72" bestFit="1" customWidth="1"/>
    <col min="3" max="3" width="53" style="72" bestFit="1" customWidth="1"/>
    <col min="4" max="4" width="54.33203125" style="72" customWidth="1"/>
    <col min="5" max="5" width="20.33203125" style="72" customWidth="1"/>
    <col min="6" max="8" width="11.44140625" style="72" customWidth="1"/>
    <col min="9" max="9" width="13.77734375" style="72" bestFit="1" customWidth="1"/>
    <col min="10" max="10" width="16.5546875" style="72" bestFit="1" customWidth="1"/>
    <col min="11" max="11" width="15" style="72" bestFit="1" customWidth="1"/>
    <col min="12" max="12" width="15.109375" style="72" bestFit="1" customWidth="1"/>
    <col min="13" max="13" width="15.33203125" style="72" bestFit="1" customWidth="1"/>
    <col min="14" max="14" width="11.5546875" style="72"/>
    <col min="15" max="15" width="20.21875" style="72" bestFit="1" customWidth="1"/>
    <col min="16" max="16" width="16.6640625" style="72" bestFit="1" customWidth="1"/>
    <col min="17" max="16384" width="11.5546875" style="72"/>
  </cols>
  <sheetData>
    <row r="1" spans="1:16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6" ht="18.600000000000001" thickBot="1">
      <c r="A2" s="202" t="s">
        <v>0</v>
      </c>
      <c r="B2" s="149"/>
      <c r="C2" s="203" t="s">
        <v>1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6" ht="18.600000000000001" thickBot="1">
      <c r="A3" s="742" t="s">
        <v>2</v>
      </c>
      <c r="B3" s="743"/>
      <c r="C3" s="203" t="s">
        <v>3</v>
      </c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16" ht="18.600000000000001" thickBot="1">
      <c r="A4" s="745" t="s">
        <v>4</v>
      </c>
      <c r="B4" s="746"/>
      <c r="C4" s="207">
        <v>21.663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6" ht="16.2" thickBot="1">
      <c r="A5" s="749" t="s">
        <v>5</v>
      </c>
      <c r="B5" s="750"/>
      <c r="C5" s="208" t="s">
        <v>343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6" ht="18.600000000000001" thickBot="1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16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16" ht="18">
      <c r="A8" s="753" t="s">
        <v>342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5"/>
      <c r="O8" s="268" t="s">
        <v>1090</v>
      </c>
      <c r="P8" s="269">
        <f>'BURNING COST'!F8</f>
        <v>721704</v>
      </c>
    </row>
    <row r="9" spans="1:16" ht="27.6">
      <c r="A9" s="270" t="s">
        <v>9</v>
      </c>
      <c r="B9" s="270" t="s">
        <v>10</v>
      </c>
      <c r="C9" s="270" t="s">
        <v>11</v>
      </c>
      <c r="D9" s="270" t="s">
        <v>12</v>
      </c>
      <c r="E9" s="270" t="s">
        <v>13</v>
      </c>
      <c r="F9" s="270" t="s">
        <v>14</v>
      </c>
      <c r="G9" s="270" t="s">
        <v>15</v>
      </c>
      <c r="H9" s="271" t="s">
        <v>16</v>
      </c>
      <c r="I9" s="270" t="s">
        <v>17</v>
      </c>
      <c r="J9" s="271" t="s">
        <v>18</v>
      </c>
      <c r="K9" s="270" t="s">
        <v>19</v>
      </c>
      <c r="L9" s="270" t="s">
        <v>20</v>
      </c>
      <c r="M9" s="270" t="s">
        <v>21</v>
      </c>
      <c r="O9" s="259" t="s">
        <v>1091</v>
      </c>
    </row>
    <row r="10" spans="1:16" s="399" customFormat="1" ht="12">
      <c r="A10" s="280" t="s">
        <v>341</v>
      </c>
      <c r="B10" s="281" t="s">
        <v>28</v>
      </c>
      <c r="C10" s="282" t="s">
        <v>335</v>
      </c>
      <c r="D10" s="281" t="s">
        <v>339</v>
      </c>
      <c r="E10" s="281" t="s">
        <v>33</v>
      </c>
      <c r="F10" s="283">
        <v>41729</v>
      </c>
      <c r="G10" s="283">
        <v>41764</v>
      </c>
      <c r="H10" s="283">
        <v>41775</v>
      </c>
      <c r="I10" s="284">
        <v>66803.360000000001</v>
      </c>
      <c r="J10" s="284"/>
      <c r="K10" s="284"/>
      <c r="L10" s="285"/>
      <c r="M10" s="453"/>
      <c r="O10" s="400">
        <f>IF($J10&gt;P$8,$J10-P$8,0)</f>
        <v>0</v>
      </c>
    </row>
    <row r="11" spans="1:16" s="399" customFormat="1" ht="12">
      <c r="A11" s="280" t="s">
        <v>340</v>
      </c>
      <c r="B11" s="281" t="s">
        <v>23</v>
      </c>
      <c r="C11" s="282" t="s">
        <v>335</v>
      </c>
      <c r="D11" s="281" t="s">
        <v>339</v>
      </c>
      <c r="E11" s="281" t="s">
        <v>33</v>
      </c>
      <c r="F11" s="283">
        <v>41729</v>
      </c>
      <c r="G11" s="283">
        <v>41807</v>
      </c>
      <c r="H11" s="283">
        <v>41816</v>
      </c>
      <c r="I11" s="284">
        <v>11925.87</v>
      </c>
      <c r="J11" s="284"/>
      <c r="K11" s="284"/>
      <c r="L11" s="285"/>
      <c r="M11" s="453"/>
      <c r="O11" s="400">
        <f t="shared" ref="O11:O74" si="0">IF($J11&gt;P$8,$J11-P$8,0)</f>
        <v>0</v>
      </c>
    </row>
    <row r="12" spans="1:16" s="399" customFormat="1" ht="12">
      <c r="A12" s="280" t="s">
        <v>338</v>
      </c>
      <c r="B12" s="287" t="s">
        <v>23</v>
      </c>
      <c r="C12" s="282" t="s">
        <v>335</v>
      </c>
      <c r="D12" s="281" t="s">
        <v>334</v>
      </c>
      <c r="E12" s="281" t="s">
        <v>33</v>
      </c>
      <c r="F12" s="283">
        <v>41729</v>
      </c>
      <c r="G12" s="283">
        <v>41779</v>
      </c>
      <c r="H12" s="283">
        <v>41801</v>
      </c>
      <c r="I12" s="284">
        <v>58026.5</v>
      </c>
      <c r="J12" s="284"/>
      <c r="K12" s="284"/>
      <c r="L12" s="285"/>
      <c r="M12" s="453"/>
      <c r="O12" s="400">
        <f t="shared" si="0"/>
        <v>0</v>
      </c>
    </row>
    <row r="13" spans="1:16" s="399" customFormat="1" ht="12">
      <c r="A13" s="280" t="s">
        <v>336</v>
      </c>
      <c r="B13" s="287" t="s">
        <v>28</v>
      </c>
      <c r="C13" s="282" t="s">
        <v>335</v>
      </c>
      <c r="D13" s="281" t="s">
        <v>334</v>
      </c>
      <c r="E13" s="281" t="s">
        <v>33</v>
      </c>
      <c r="F13" s="283">
        <v>41729</v>
      </c>
      <c r="G13" s="283">
        <v>41779</v>
      </c>
      <c r="H13" s="283">
        <v>41801</v>
      </c>
      <c r="I13" s="284">
        <v>534390.4</v>
      </c>
      <c r="J13" s="284"/>
      <c r="K13" s="284"/>
      <c r="L13" s="285"/>
      <c r="M13" s="453"/>
      <c r="O13" s="400">
        <f t="shared" si="0"/>
        <v>0</v>
      </c>
    </row>
    <row r="14" spans="1:16" s="399" customFormat="1" ht="12">
      <c r="A14" s="280" t="s">
        <v>337</v>
      </c>
      <c r="B14" s="281" t="s">
        <v>250</v>
      </c>
      <c r="C14" s="282" t="s">
        <v>335</v>
      </c>
      <c r="D14" s="281" t="s">
        <v>334</v>
      </c>
      <c r="E14" s="281" t="s">
        <v>33</v>
      </c>
      <c r="F14" s="283">
        <v>41729</v>
      </c>
      <c r="G14" s="283">
        <v>41779</v>
      </c>
      <c r="H14" s="283">
        <v>41801</v>
      </c>
      <c r="I14" s="284">
        <v>5000</v>
      </c>
      <c r="J14" s="284"/>
      <c r="K14" s="284"/>
      <c r="L14" s="285"/>
      <c r="M14" s="453"/>
      <c r="O14" s="400">
        <f t="shared" si="0"/>
        <v>0</v>
      </c>
    </row>
    <row r="15" spans="1:16" s="399" customFormat="1" ht="12">
      <c r="A15" s="280" t="s">
        <v>336</v>
      </c>
      <c r="B15" s="281" t="s">
        <v>28</v>
      </c>
      <c r="C15" s="282" t="s">
        <v>335</v>
      </c>
      <c r="D15" s="281" t="s">
        <v>334</v>
      </c>
      <c r="E15" s="281" t="s">
        <v>33</v>
      </c>
      <c r="F15" s="283">
        <v>41729</v>
      </c>
      <c r="G15" s="283">
        <v>41779</v>
      </c>
      <c r="H15" s="283">
        <v>41801</v>
      </c>
      <c r="I15" s="284">
        <v>41053.650000000023</v>
      </c>
      <c r="J15" s="284">
        <f>SUM(I10:I15)</f>
        <v>717199.78</v>
      </c>
      <c r="K15" s="284">
        <v>310000</v>
      </c>
      <c r="L15" s="285">
        <f>+J15-K15</f>
        <v>407199.78</v>
      </c>
      <c r="M15" s="453"/>
      <c r="O15" s="400">
        <f>IF($J15&gt;P$8,$J15-P$8,0)</f>
        <v>0</v>
      </c>
    </row>
    <row r="16" spans="1:16" s="399" customFormat="1" ht="12">
      <c r="A16" s="280" t="s">
        <v>1385</v>
      </c>
      <c r="B16" s="281" t="s">
        <v>23</v>
      </c>
      <c r="C16" s="282" t="s">
        <v>1387</v>
      </c>
      <c r="D16" s="281" t="s">
        <v>1388</v>
      </c>
      <c r="E16" s="281" t="s">
        <v>33</v>
      </c>
      <c r="F16" s="283">
        <v>41949</v>
      </c>
      <c r="G16" s="283">
        <v>41995</v>
      </c>
      <c r="H16" s="283">
        <v>42011</v>
      </c>
      <c r="I16" s="284">
        <v>52216.32</v>
      </c>
      <c r="J16" s="284"/>
      <c r="K16" s="284"/>
      <c r="L16" s="285"/>
      <c r="M16" s="453"/>
      <c r="O16" s="400">
        <f t="shared" si="0"/>
        <v>0</v>
      </c>
    </row>
    <row r="17" spans="1:15" s="399" customFormat="1" ht="12">
      <c r="A17" s="280" t="s">
        <v>1386</v>
      </c>
      <c r="B17" s="281" t="s">
        <v>28</v>
      </c>
      <c r="C17" s="282" t="s">
        <v>1387</v>
      </c>
      <c r="D17" s="281" t="s">
        <v>1388</v>
      </c>
      <c r="E17" s="281" t="s">
        <v>33</v>
      </c>
      <c r="F17" s="283">
        <v>41949</v>
      </c>
      <c r="G17" s="283">
        <v>41995</v>
      </c>
      <c r="H17" s="283">
        <v>42011</v>
      </c>
      <c r="I17" s="284">
        <v>380879.99</v>
      </c>
      <c r="J17" s="284"/>
      <c r="K17" s="284"/>
      <c r="L17" s="285"/>
      <c r="M17" s="453"/>
      <c r="O17" s="400">
        <f t="shared" si="0"/>
        <v>0</v>
      </c>
    </row>
    <row r="18" spans="1:15" s="399" customFormat="1" ht="12">
      <c r="A18" s="280" t="s">
        <v>1385</v>
      </c>
      <c r="B18" s="281" t="s">
        <v>23</v>
      </c>
      <c r="C18" s="282" t="s">
        <v>1387</v>
      </c>
      <c r="D18" s="281" t="s">
        <v>1388</v>
      </c>
      <c r="E18" s="281" t="s">
        <v>33</v>
      </c>
      <c r="F18" s="283">
        <v>41949</v>
      </c>
      <c r="G18" s="283">
        <v>41995</v>
      </c>
      <c r="H18" s="283">
        <v>42011</v>
      </c>
      <c r="I18" s="284">
        <v>52216.32</v>
      </c>
      <c r="J18" s="284">
        <f>SUM(I16:I18)</f>
        <v>485312.63</v>
      </c>
      <c r="K18" s="284">
        <v>310000</v>
      </c>
      <c r="L18" s="285">
        <f>+J18-K18</f>
        <v>175312.63</v>
      </c>
      <c r="M18" s="453"/>
      <c r="O18" s="400">
        <f t="shared" si="0"/>
        <v>0</v>
      </c>
    </row>
    <row r="19" spans="1:15" s="399" customFormat="1" ht="12">
      <c r="A19" s="280" t="s">
        <v>333</v>
      </c>
      <c r="B19" s="287" t="s">
        <v>23</v>
      </c>
      <c r="C19" s="282" t="s">
        <v>328</v>
      </c>
      <c r="D19" s="281" t="s">
        <v>327</v>
      </c>
      <c r="E19" s="281" t="s">
        <v>33</v>
      </c>
      <c r="F19" s="283">
        <v>41910</v>
      </c>
      <c r="G19" s="283">
        <v>41989</v>
      </c>
      <c r="H19" s="283">
        <v>41995</v>
      </c>
      <c r="I19" s="284">
        <v>53000</v>
      </c>
      <c r="J19" s="284"/>
      <c r="K19" s="284"/>
      <c r="L19" s="285"/>
      <c r="M19" s="453"/>
      <c r="O19" s="400">
        <f t="shared" si="0"/>
        <v>0</v>
      </c>
    </row>
    <row r="20" spans="1:15" s="399" customFormat="1" ht="12">
      <c r="A20" s="280" t="s">
        <v>332</v>
      </c>
      <c r="B20" s="281" t="s">
        <v>28</v>
      </c>
      <c r="C20" s="282" t="s">
        <v>328</v>
      </c>
      <c r="D20" s="281" t="s">
        <v>327</v>
      </c>
      <c r="E20" s="281" t="s">
        <v>33</v>
      </c>
      <c r="F20" s="283">
        <v>41910</v>
      </c>
      <c r="G20" s="283">
        <v>41989</v>
      </c>
      <c r="H20" s="283">
        <v>41995</v>
      </c>
      <c r="I20" s="284">
        <v>500000</v>
      </c>
      <c r="J20" s="284"/>
      <c r="K20" s="284"/>
      <c r="L20" s="285"/>
      <c r="M20" s="453"/>
      <c r="O20" s="400">
        <f t="shared" si="0"/>
        <v>0</v>
      </c>
    </row>
    <row r="21" spans="1:15" s="399" customFormat="1" ht="12">
      <c r="A21" s="280" t="s">
        <v>331</v>
      </c>
      <c r="B21" s="287" t="s">
        <v>50</v>
      </c>
      <c r="C21" s="282" t="s">
        <v>328</v>
      </c>
      <c r="D21" s="281" t="s">
        <v>327</v>
      </c>
      <c r="E21" s="281" t="s">
        <v>33</v>
      </c>
      <c r="F21" s="283">
        <v>41910</v>
      </c>
      <c r="G21" s="283">
        <v>41989</v>
      </c>
      <c r="H21" s="283">
        <v>41995</v>
      </c>
      <c r="I21" s="284">
        <v>7000</v>
      </c>
      <c r="J21" s="284"/>
      <c r="K21" s="284"/>
      <c r="L21" s="285"/>
      <c r="M21" s="453"/>
      <c r="O21" s="400">
        <f t="shared" si="0"/>
        <v>0</v>
      </c>
    </row>
    <row r="22" spans="1:15" s="399" customFormat="1" ht="12">
      <c r="A22" s="280" t="s">
        <v>330</v>
      </c>
      <c r="B22" s="281" t="s">
        <v>329</v>
      </c>
      <c r="C22" s="282" t="s">
        <v>328</v>
      </c>
      <c r="D22" s="281" t="s">
        <v>327</v>
      </c>
      <c r="E22" s="281" t="s">
        <v>33</v>
      </c>
      <c r="F22" s="283">
        <v>41910</v>
      </c>
      <c r="G22" s="283">
        <v>41989</v>
      </c>
      <c r="H22" s="283">
        <v>41999</v>
      </c>
      <c r="I22" s="284">
        <v>500000</v>
      </c>
      <c r="J22" s="284">
        <f>SUM(I19:I22)</f>
        <v>1060000</v>
      </c>
      <c r="K22" s="284">
        <v>310000</v>
      </c>
      <c r="L22" s="285">
        <f>+J22-K22</f>
        <v>750000</v>
      </c>
      <c r="M22" s="453"/>
      <c r="O22" s="400">
        <f t="shared" si="0"/>
        <v>338296</v>
      </c>
    </row>
    <row r="23" spans="1:15" s="399" customFormat="1" ht="12">
      <c r="A23" s="280" t="s">
        <v>326</v>
      </c>
      <c r="B23" s="281" t="s">
        <v>23</v>
      </c>
      <c r="C23" s="282" t="s">
        <v>324</v>
      </c>
      <c r="D23" s="281" t="s">
        <v>38</v>
      </c>
      <c r="E23" s="281" t="s">
        <v>33</v>
      </c>
      <c r="F23" s="283">
        <v>41717</v>
      </c>
      <c r="G23" s="283">
        <v>41822</v>
      </c>
      <c r="H23" s="283">
        <v>41835</v>
      </c>
      <c r="I23" s="284">
        <v>257549.13</v>
      </c>
      <c r="J23" s="284"/>
      <c r="K23" s="284"/>
      <c r="L23" s="285"/>
      <c r="M23" s="453"/>
      <c r="O23" s="400">
        <f t="shared" si="0"/>
        <v>0</v>
      </c>
    </row>
    <row r="24" spans="1:15" s="399" customFormat="1" ht="12">
      <c r="A24" s="282" t="s">
        <v>325</v>
      </c>
      <c r="B24" s="281" t="s">
        <v>28</v>
      </c>
      <c r="C24" s="282" t="s">
        <v>324</v>
      </c>
      <c r="D24" s="281" t="s">
        <v>38</v>
      </c>
      <c r="E24" s="281" t="s">
        <v>33</v>
      </c>
      <c r="F24" s="288">
        <v>41717</v>
      </c>
      <c r="G24" s="288">
        <v>41822</v>
      </c>
      <c r="H24" s="288">
        <v>41835</v>
      </c>
      <c r="I24" s="289">
        <v>127458.5</v>
      </c>
      <c r="J24" s="289">
        <f>SUM(I23:I24)</f>
        <v>385007.63</v>
      </c>
      <c r="K24" s="284">
        <v>310000</v>
      </c>
      <c r="L24" s="285">
        <f>+J24-K24</f>
        <v>75007.63</v>
      </c>
      <c r="M24" s="453"/>
      <c r="O24" s="400">
        <f t="shared" si="0"/>
        <v>0</v>
      </c>
    </row>
    <row r="25" spans="1:15" s="399" customFormat="1" ht="12">
      <c r="A25" s="280" t="s">
        <v>323</v>
      </c>
      <c r="B25" s="287" t="s">
        <v>30</v>
      </c>
      <c r="C25" s="282" t="s">
        <v>319</v>
      </c>
      <c r="D25" s="281" t="s">
        <v>318</v>
      </c>
      <c r="E25" s="281" t="s">
        <v>33</v>
      </c>
      <c r="F25" s="283">
        <v>41779</v>
      </c>
      <c r="G25" s="283">
        <v>41816</v>
      </c>
      <c r="H25" s="283">
        <v>41827</v>
      </c>
      <c r="I25" s="284">
        <v>31899.53</v>
      </c>
      <c r="J25" s="284"/>
      <c r="K25" s="284"/>
      <c r="L25" s="285"/>
      <c r="M25" s="453"/>
      <c r="O25" s="400">
        <f t="shared" si="0"/>
        <v>0</v>
      </c>
    </row>
    <row r="26" spans="1:15" s="399" customFormat="1" ht="12">
      <c r="A26" s="280" t="s">
        <v>322</v>
      </c>
      <c r="B26" s="287" t="s">
        <v>28</v>
      </c>
      <c r="C26" s="282" t="s">
        <v>319</v>
      </c>
      <c r="D26" s="281" t="s">
        <v>318</v>
      </c>
      <c r="E26" s="281" t="s">
        <v>33</v>
      </c>
      <c r="F26" s="283">
        <v>41779</v>
      </c>
      <c r="G26" s="283">
        <v>41816</v>
      </c>
      <c r="H26" s="283">
        <v>41827</v>
      </c>
      <c r="I26" s="284">
        <v>50547.26</v>
      </c>
      <c r="J26" s="284"/>
      <c r="K26" s="284"/>
      <c r="L26" s="285"/>
      <c r="M26" s="453"/>
      <c r="O26" s="400">
        <f t="shared" si="0"/>
        <v>0</v>
      </c>
    </row>
    <row r="27" spans="1:15" s="399" customFormat="1" ht="12">
      <c r="A27" s="280" t="s">
        <v>321</v>
      </c>
      <c r="B27" s="287" t="s">
        <v>23</v>
      </c>
      <c r="C27" s="282" t="s">
        <v>319</v>
      </c>
      <c r="D27" s="281" t="s">
        <v>318</v>
      </c>
      <c r="E27" s="281" t="s">
        <v>33</v>
      </c>
      <c r="F27" s="283">
        <v>41779</v>
      </c>
      <c r="G27" s="283">
        <v>41919</v>
      </c>
      <c r="H27" s="283">
        <v>41939</v>
      </c>
      <c r="I27" s="284">
        <v>43965.46</v>
      </c>
      <c r="J27" s="284"/>
      <c r="K27" s="284"/>
      <c r="L27" s="285"/>
      <c r="M27" s="453"/>
      <c r="O27" s="400">
        <f t="shared" si="0"/>
        <v>0</v>
      </c>
    </row>
    <row r="28" spans="1:15" s="399" customFormat="1" ht="12">
      <c r="A28" s="280" t="s">
        <v>320</v>
      </c>
      <c r="B28" s="281" t="s">
        <v>28</v>
      </c>
      <c r="C28" s="282" t="s">
        <v>319</v>
      </c>
      <c r="D28" s="281" t="s">
        <v>318</v>
      </c>
      <c r="E28" s="281" t="s">
        <v>33</v>
      </c>
      <c r="F28" s="283">
        <v>41779</v>
      </c>
      <c r="G28" s="283">
        <v>41936</v>
      </c>
      <c r="H28" s="283">
        <v>41939</v>
      </c>
      <c r="I28" s="284">
        <v>250770.9</v>
      </c>
      <c r="J28" s="284">
        <f>SUM(I25:I28)</f>
        <v>377183.15</v>
      </c>
      <c r="K28" s="284">
        <v>310000</v>
      </c>
      <c r="L28" s="285">
        <f>+J28-K28</f>
        <v>67183.150000000023</v>
      </c>
      <c r="M28" s="453"/>
      <c r="O28" s="400">
        <f t="shared" si="0"/>
        <v>0</v>
      </c>
    </row>
    <row r="29" spans="1:15" s="399" customFormat="1" ht="12">
      <c r="A29" s="280" t="s">
        <v>317</v>
      </c>
      <c r="B29" s="287" t="s">
        <v>93</v>
      </c>
      <c r="C29" s="282" t="s">
        <v>309</v>
      </c>
      <c r="D29" s="281" t="s">
        <v>314</v>
      </c>
      <c r="E29" s="281" t="s">
        <v>313</v>
      </c>
      <c r="F29" s="283">
        <v>41713</v>
      </c>
      <c r="G29" s="283">
        <v>41736</v>
      </c>
      <c r="H29" s="283">
        <v>41743</v>
      </c>
      <c r="I29" s="284">
        <v>150000</v>
      </c>
      <c r="J29" s="284"/>
      <c r="K29" s="284"/>
      <c r="L29" s="285"/>
      <c r="M29" s="453"/>
      <c r="O29" s="400">
        <f t="shared" si="0"/>
        <v>0</v>
      </c>
    </row>
    <row r="30" spans="1:15" s="399" customFormat="1" ht="12">
      <c r="A30" s="280" t="s">
        <v>316</v>
      </c>
      <c r="B30" s="281" t="s">
        <v>28</v>
      </c>
      <c r="C30" s="282" t="s">
        <v>309</v>
      </c>
      <c r="D30" s="281" t="s">
        <v>314</v>
      </c>
      <c r="E30" s="281" t="s">
        <v>313</v>
      </c>
      <c r="F30" s="283">
        <v>41713</v>
      </c>
      <c r="G30" s="283">
        <v>41761</v>
      </c>
      <c r="H30" s="283">
        <v>41767</v>
      </c>
      <c r="I30" s="284">
        <v>275335.33</v>
      </c>
      <c r="J30" s="284"/>
      <c r="K30" s="284"/>
      <c r="L30" s="285"/>
      <c r="M30" s="453"/>
      <c r="O30" s="400">
        <f t="shared" si="0"/>
        <v>0</v>
      </c>
    </row>
    <row r="31" spans="1:15" s="399" customFormat="1" ht="12">
      <c r="A31" s="280" t="s">
        <v>315</v>
      </c>
      <c r="B31" s="281" t="s">
        <v>28</v>
      </c>
      <c r="C31" s="282" t="s">
        <v>309</v>
      </c>
      <c r="D31" s="281" t="s">
        <v>314</v>
      </c>
      <c r="E31" s="281" t="s">
        <v>313</v>
      </c>
      <c r="F31" s="283">
        <v>41713</v>
      </c>
      <c r="G31" s="283">
        <v>41796</v>
      </c>
      <c r="H31" s="283">
        <v>41801</v>
      </c>
      <c r="I31" s="284">
        <v>21740.11</v>
      </c>
      <c r="J31" s="284"/>
      <c r="K31" s="284"/>
      <c r="L31" s="285"/>
      <c r="M31" s="453"/>
      <c r="O31" s="400">
        <f t="shared" si="0"/>
        <v>0</v>
      </c>
    </row>
    <row r="32" spans="1:15" s="399" customFormat="1" ht="12">
      <c r="A32" s="282" t="s">
        <v>312</v>
      </c>
      <c r="B32" s="281" t="s">
        <v>250</v>
      </c>
      <c r="C32" s="282" t="s">
        <v>309</v>
      </c>
      <c r="D32" s="281" t="s">
        <v>59</v>
      </c>
      <c r="E32" s="281" t="s">
        <v>33</v>
      </c>
      <c r="F32" s="288">
        <v>41911</v>
      </c>
      <c r="G32" s="288">
        <v>41925</v>
      </c>
      <c r="H32" s="288">
        <v>41929</v>
      </c>
      <c r="I32" s="289">
        <v>25000</v>
      </c>
      <c r="J32" s="289"/>
      <c r="K32" s="289"/>
      <c r="L32" s="285"/>
      <c r="M32" s="453"/>
      <c r="O32" s="400">
        <f t="shared" si="0"/>
        <v>0</v>
      </c>
    </row>
    <row r="33" spans="1:15" s="399" customFormat="1" ht="12">
      <c r="A33" s="282" t="s">
        <v>311</v>
      </c>
      <c r="B33" s="287" t="s">
        <v>23</v>
      </c>
      <c r="C33" s="282" t="s">
        <v>309</v>
      </c>
      <c r="D33" s="281" t="s">
        <v>59</v>
      </c>
      <c r="E33" s="281" t="s">
        <v>33</v>
      </c>
      <c r="F33" s="288">
        <v>41911</v>
      </c>
      <c r="G33" s="288">
        <v>41946</v>
      </c>
      <c r="H33" s="288">
        <v>41960</v>
      </c>
      <c r="I33" s="289">
        <v>305000</v>
      </c>
      <c r="J33" s="289"/>
      <c r="K33" s="284"/>
      <c r="L33" s="285"/>
      <c r="M33" s="453"/>
      <c r="O33" s="400">
        <f t="shared" si="0"/>
        <v>0</v>
      </c>
    </row>
    <row r="34" spans="1:15" s="399" customFormat="1" ht="12">
      <c r="A34" s="280" t="s">
        <v>310</v>
      </c>
      <c r="B34" s="281" t="s">
        <v>250</v>
      </c>
      <c r="C34" s="282" t="s">
        <v>309</v>
      </c>
      <c r="D34" s="281" t="s">
        <v>59</v>
      </c>
      <c r="E34" s="281" t="s">
        <v>33</v>
      </c>
      <c r="F34" s="283">
        <v>41911</v>
      </c>
      <c r="G34" s="283">
        <v>41946</v>
      </c>
      <c r="H34" s="283">
        <v>41960</v>
      </c>
      <c r="I34" s="284">
        <v>20000</v>
      </c>
      <c r="J34" s="284">
        <f>SUM(I29:I34)</f>
        <v>797075.44</v>
      </c>
      <c r="K34" s="284">
        <v>310000</v>
      </c>
      <c r="L34" s="285">
        <f>+J34-K34</f>
        <v>487075.43999999994</v>
      </c>
      <c r="M34" s="453"/>
      <c r="O34" s="400">
        <f t="shared" si="0"/>
        <v>75371.439999999944</v>
      </c>
    </row>
    <row r="35" spans="1:15" s="399" customFormat="1" ht="12">
      <c r="A35" s="282" t="s">
        <v>308</v>
      </c>
      <c r="B35" s="287" t="s">
        <v>23</v>
      </c>
      <c r="C35" s="282" t="s">
        <v>304</v>
      </c>
      <c r="D35" s="281" t="s">
        <v>38</v>
      </c>
      <c r="E35" s="281" t="s">
        <v>33</v>
      </c>
      <c r="F35" s="288">
        <v>41718</v>
      </c>
      <c r="G35" s="288">
        <v>41837</v>
      </c>
      <c r="H35" s="288">
        <v>41857</v>
      </c>
      <c r="I35" s="289">
        <v>58710.879999999997</v>
      </c>
      <c r="J35" s="289"/>
      <c r="K35" s="284"/>
      <c r="L35" s="285"/>
      <c r="M35" s="453"/>
      <c r="O35" s="400">
        <f t="shared" si="0"/>
        <v>0</v>
      </c>
    </row>
    <row r="36" spans="1:15" s="399" customFormat="1" ht="12">
      <c r="A36" s="280" t="s">
        <v>307</v>
      </c>
      <c r="B36" s="281" t="s">
        <v>174</v>
      </c>
      <c r="C36" s="282" t="s">
        <v>304</v>
      </c>
      <c r="D36" s="281" t="s">
        <v>38</v>
      </c>
      <c r="E36" s="281" t="s">
        <v>33</v>
      </c>
      <c r="F36" s="283">
        <v>41718</v>
      </c>
      <c r="G36" s="283">
        <v>41837</v>
      </c>
      <c r="H36" s="283">
        <v>41857</v>
      </c>
      <c r="I36" s="284">
        <v>100000</v>
      </c>
      <c r="J36" s="284"/>
      <c r="K36" s="284"/>
      <c r="L36" s="285"/>
      <c r="M36" s="453"/>
      <c r="O36" s="400">
        <f t="shared" si="0"/>
        <v>0</v>
      </c>
    </row>
    <row r="37" spans="1:15" s="399" customFormat="1" ht="12">
      <c r="A37" s="280" t="s">
        <v>306</v>
      </c>
      <c r="B37" s="287" t="s">
        <v>36</v>
      </c>
      <c r="C37" s="282" t="s">
        <v>304</v>
      </c>
      <c r="D37" s="281" t="s">
        <v>38</v>
      </c>
      <c r="E37" s="281" t="s">
        <v>33</v>
      </c>
      <c r="F37" s="283">
        <v>41718</v>
      </c>
      <c r="G37" s="283">
        <v>41837</v>
      </c>
      <c r="H37" s="283">
        <v>41857</v>
      </c>
      <c r="I37" s="284">
        <v>430000</v>
      </c>
      <c r="J37" s="284"/>
      <c r="K37" s="284"/>
      <c r="L37" s="285"/>
      <c r="M37" s="453"/>
      <c r="O37" s="400">
        <f t="shared" si="0"/>
        <v>0</v>
      </c>
    </row>
    <row r="38" spans="1:15" s="399" customFormat="1" ht="12">
      <c r="A38" s="280" t="s">
        <v>305</v>
      </c>
      <c r="B38" s="281" t="s">
        <v>250</v>
      </c>
      <c r="C38" s="282" t="s">
        <v>304</v>
      </c>
      <c r="D38" s="281" t="s">
        <v>38</v>
      </c>
      <c r="E38" s="281" t="s">
        <v>33</v>
      </c>
      <c r="F38" s="283">
        <v>41718</v>
      </c>
      <c r="G38" s="283">
        <v>41837</v>
      </c>
      <c r="H38" s="283">
        <v>41857</v>
      </c>
      <c r="I38" s="284">
        <v>15000</v>
      </c>
      <c r="J38" s="284">
        <f>SUM(I35:I38)</f>
        <v>603710.88</v>
      </c>
      <c r="K38" s="284">
        <v>310000</v>
      </c>
      <c r="L38" s="285">
        <f>+J38-K38</f>
        <v>293710.88</v>
      </c>
      <c r="M38" s="453"/>
      <c r="O38" s="400">
        <f t="shared" si="0"/>
        <v>0</v>
      </c>
    </row>
    <row r="39" spans="1:15" s="399" customFormat="1" ht="12">
      <c r="A39" s="280" t="s">
        <v>303</v>
      </c>
      <c r="B39" s="281" t="s">
        <v>23</v>
      </c>
      <c r="C39" s="282" t="s">
        <v>300</v>
      </c>
      <c r="D39" s="281" t="s">
        <v>38</v>
      </c>
      <c r="E39" s="281" t="s">
        <v>33</v>
      </c>
      <c r="F39" s="283">
        <v>41678</v>
      </c>
      <c r="G39" s="283">
        <v>41722</v>
      </c>
      <c r="H39" s="283">
        <v>41744</v>
      </c>
      <c r="I39" s="284">
        <v>46317.9</v>
      </c>
      <c r="J39" s="284"/>
      <c r="K39" s="284"/>
      <c r="L39" s="285"/>
      <c r="M39" s="453"/>
      <c r="O39" s="400">
        <f t="shared" si="0"/>
        <v>0</v>
      </c>
    </row>
    <row r="40" spans="1:15" s="399" customFormat="1" ht="12">
      <c r="A40" s="280" t="s">
        <v>302</v>
      </c>
      <c r="B40" s="287" t="s">
        <v>28</v>
      </c>
      <c r="C40" s="282" t="s">
        <v>300</v>
      </c>
      <c r="D40" s="281" t="s">
        <v>38</v>
      </c>
      <c r="E40" s="281" t="s">
        <v>33</v>
      </c>
      <c r="F40" s="283">
        <v>41678</v>
      </c>
      <c r="G40" s="283">
        <v>41722</v>
      </c>
      <c r="H40" s="283">
        <v>41744</v>
      </c>
      <c r="I40" s="284">
        <v>269777.8</v>
      </c>
      <c r="J40" s="284"/>
      <c r="K40" s="284"/>
      <c r="L40" s="285"/>
      <c r="M40" s="453"/>
      <c r="O40" s="400">
        <f t="shared" si="0"/>
        <v>0</v>
      </c>
    </row>
    <row r="41" spans="1:15" s="399" customFormat="1" ht="12">
      <c r="A41" s="290" t="s">
        <v>301</v>
      </c>
      <c r="B41" s="287" t="s">
        <v>250</v>
      </c>
      <c r="C41" s="282" t="s">
        <v>300</v>
      </c>
      <c r="D41" s="281" t="s">
        <v>38</v>
      </c>
      <c r="E41" s="281" t="s">
        <v>33</v>
      </c>
      <c r="F41" s="288">
        <v>41678</v>
      </c>
      <c r="G41" s="288">
        <v>41722</v>
      </c>
      <c r="H41" s="288">
        <v>41744</v>
      </c>
      <c r="I41" s="289">
        <v>5000</v>
      </c>
      <c r="J41" s="289">
        <f>SUM(I39:I41)</f>
        <v>321095.7</v>
      </c>
      <c r="K41" s="284">
        <v>310000</v>
      </c>
      <c r="L41" s="285">
        <f>+J41-K41</f>
        <v>11095.700000000012</v>
      </c>
      <c r="M41" s="453"/>
      <c r="O41" s="400">
        <f t="shared" si="0"/>
        <v>0</v>
      </c>
    </row>
    <row r="42" spans="1:15" s="399" customFormat="1" ht="12">
      <c r="A42" s="282" t="s">
        <v>299</v>
      </c>
      <c r="B42" s="287" t="s">
        <v>23</v>
      </c>
      <c r="C42" s="282" t="s">
        <v>295</v>
      </c>
      <c r="D42" s="282" t="s">
        <v>294</v>
      </c>
      <c r="E42" s="282" t="s">
        <v>26</v>
      </c>
      <c r="F42" s="288">
        <v>41663</v>
      </c>
      <c r="G42" s="288">
        <v>41682</v>
      </c>
      <c r="H42" s="288">
        <v>41691</v>
      </c>
      <c r="I42" s="289">
        <v>39969.980000000003</v>
      </c>
      <c r="J42" s="289"/>
      <c r="K42" s="284"/>
      <c r="L42" s="285"/>
      <c r="M42" s="453"/>
      <c r="O42" s="400">
        <f t="shared" si="0"/>
        <v>0</v>
      </c>
    </row>
    <row r="43" spans="1:15" s="399" customFormat="1" ht="12">
      <c r="A43" s="280" t="s">
        <v>298</v>
      </c>
      <c r="B43" s="287" t="s">
        <v>28</v>
      </c>
      <c r="C43" s="282" t="s">
        <v>295</v>
      </c>
      <c r="D43" s="281" t="s">
        <v>294</v>
      </c>
      <c r="E43" s="281" t="s">
        <v>26</v>
      </c>
      <c r="F43" s="283">
        <v>41663</v>
      </c>
      <c r="G43" s="283">
        <v>41689</v>
      </c>
      <c r="H43" s="283">
        <v>41690</v>
      </c>
      <c r="I43" s="284">
        <v>97808.14</v>
      </c>
      <c r="J43" s="284"/>
      <c r="K43" s="284"/>
      <c r="L43" s="285"/>
      <c r="M43" s="453"/>
      <c r="O43" s="400">
        <f t="shared" si="0"/>
        <v>0</v>
      </c>
    </row>
    <row r="44" spans="1:15" s="399" customFormat="1" ht="12">
      <c r="A44" s="280" t="s">
        <v>297</v>
      </c>
      <c r="B44" s="281" t="s">
        <v>23</v>
      </c>
      <c r="C44" s="282" t="s">
        <v>295</v>
      </c>
      <c r="D44" s="281" t="s">
        <v>294</v>
      </c>
      <c r="E44" s="281" t="s">
        <v>26</v>
      </c>
      <c r="F44" s="283">
        <v>41663</v>
      </c>
      <c r="G44" s="283">
        <v>41775</v>
      </c>
      <c r="H44" s="283">
        <v>41801</v>
      </c>
      <c r="I44" s="284">
        <v>89039.22</v>
      </c>
      <c r="J44" s="284"/>
      <c r="K44" s="284"/>
      <c r="L44" s="285"/>
      <c r="M44" s="453"/>
      <c r="O44" s="400">
        <f t="shared" si="0"/>
        <v>0</v>
      </c>
    </row>
    <row r="45" spans="1:15" s="399" customFormat="1" ht="12">
      <c r="A45" s="280" t="s">
        <v>296</v>
      </c>
      <c r="B45" s="287" t="s">
        <v>28</v>
      </c>
      <c r="C45" s="282" t="s">
        <v>295</v>
      </c>
      <c r="D45" s="281" t="s">
        <v>294</v>
      </c>
      <c r="E45" s="281" t="s">
        <v>26</v>
      </c>
      <c r="F45" s="283">
        <v>41663</v>
      </c>
      <c r="G45" s="283">
        <v>41775</v>
      </c>
      <c r="H45" s="283">
        <v>41801</v>
      </c>
      <c r="I45" s="284">
        <v>159000.65</v>
      </c>
      <c r="J45" s="284">
        <f>SUM(I42:I45)</f>
        <v>385817.99</v>
      </c>
      <c r="K45" s="284">
        <v>310000</v>
      </c>
      <c r="L45" s="285">
        <f>+J45-K45</f>
        <v>75817.989999999991</v>
      </c>
      <c r="M45" s="453"/>
      <c r="O45" s="400">
        <f t="shared" si="0"/>
        <v>0</v>
      </c>
    </row>
    <row r="46" spans="1:15" s="399" customFormat="1" ht="12">
      <c r="A46" s="280" t="s">
        <v>293</v>
      </c>
      <c r="B46" s="281" t="s">
        <v>30</v>
      </c>
      <c r="C46" s="282" t="s">
        <v>291</v>
      </c>
      <c r="D46" s="281" t="s">
        <v>290</v>
      </c>
      <c r="E46" s="281" t="s">
        <v>33</v>
      </c>
      <c r="F46" s="283">
        <v>41898</v>
      </c>
      <c r="G46" s="283">
        <v>41946</v>
      </c>
      <c r="H46" s="283">
        <v>41948</v>
      </c>
      <c r="I46" s="284">
        <v>47830.23</v>
      </c>
      <c r="J46" s="284"/>
      <c r="K46" s="284"/>
      <c r="L46" s="285"/>
      <c r="M46" s="453"/>
      <c r="O46" s="400">
        <f t="shared" si="0"/>
        <v>0</v>
      </c>
    </row>
    <row r="47" spans="1:15" s="399" customFormat="1" ht="12">
      <c r="A47" s="280" t="s">
        <v>292</v>
      </c>
      <c r="B47" s="287" t="s">
        <v>28</v>
      </c>
      <c r="C47" s="282" t="s">
        <v>291</v>
      </c>
      <c r="D47" s="281" t="s">
        <v>290</v>
      </c>
      <c r="E47" s="281" t="s">
        <v>33</v>
      </c>
      <c r="F47" s="283">
        <v>41898</v>
      </c>
      <c r="G47" s="283">
        <v>41946</v>
      </c>
      <c r="H47" s="283">
        <v>41948</v>
      </c>
      <c r="I47" s="284">
        <v>377154.1</v>
      </c>
      <c r="J47" s="284">
        <f>SUM(I46:I47)</f>
        <v>424984.32999999996</v>
      </c>
      <c r="K47" s="284">
        <v>310000</v>
      </c>
      <c r="L47" s="285">
        <f>+J47-K47</f>
        <v>114984.32999999996</v>
      </c>
      <c r="M47" s="453"/>
      <c r="O47" s="400">
        <f t="shared" si="0"/>
        <v>0</v>
      </c>
    </row>
    <row r="48" spans="1:15" s="399" customFormat="1" ht="12">
      <c r="A48" s="280" t="s">
        <v>289</v>
      </c>
      <c r="B48" s="281" t="s">
        <v>30</v>
      </c>
      <c r="C48" s="282" t="s">
        <v>287</v>
      </c>
      <c r="D48" s="281" t="s">
        <v>165</v>
      </c>
      <c r="E48" s="281" t="s">
        <v>33</v>
      </c>
      <c r="F48" s="283">
        <v>41808</v>
      </c>
      <c r="G48" s="283">
        <v>41855</v>
      </c>
      <c r="H48" s="283">
        <v>41876</v>
      </c>
      <c r="I48" s="284">
        <v>153000</v>
      </c>
      <c r="J48" s="284"/>
      <c r="K48" s="284"/>
      <c r="L48" s="285"/>
      <c r="M48" s="453"/>
      <c r="O48" s="400">
        <f t="shared" si="0"/>
        <v>0</v>
      </c>
    </row>
    <row r="49" spans="1:15" s="399" customFormat="1" ht="12">
      <c r="A49" s="280" t="s">
        <v>288</v>
      </c>
      <c r="B49" s="281" t="s">
        <v>28</v>
      </c>
      <c r="C49" s="282" t="s">
        <v>287</v>
      </c>
      <c r="D49" s="281" t="s">
        <v>165</v>
      </c>
      <c r="E49" s="281" t="s">
        <v>33</v>
      </c>
      <c r="F49" s="283">
        <v>41808</v>
      </c>
      <c r="G49" s="283">
        <v>41855</v>
      </c>
      <c r="H49" s="283">
        <v>41876</v>
      </c>
      <c r="I49" s="284">
        <v>192657.26</v>
      </c>
      <c r="J49" s="284">
        <f>SUM(I48:I49)</f>
        <v>345657.26</v>
      </c>
      <c r="K49" s="284">
        <v>310000</v>
      </c>
      <c r="L49" s="285">
        <f>+J49-K49</f>
        <v>35657.260000000009</v>
      </c>
      <c r="M49" s="453"/>
      <c r="O49" s="400">
        <f t="shared" si="0"/>
        <v>0</v>
      </c>
    </row>
    <row r="50" spans="1:15" s="399" customFormat="1" ht="12">
      <c r="A50" s="280" t="s">
        <v>286</v>
      </c>
      <c r="B50" s="287" t="s">
        <v>220</v>
      </c>
      <c r="C50" s="282" t="s">
        <v>283</v>
      </c>
      <c r="D50" s="281" t="s">
        <v>84</v>
      </c>
      <c r="E50" s="281" t="s">
        <v>33</v>
      </c>
      <c r="F50" s="283">
        <v>41897</v>
      </c>
      <c r="G50" s="283">
        <v>41984</v>
      </c>
      <c r="H50" s="283">
        <v>41990</v>
      </c>
      <c r="I50" s="284">
        <v>49351.74</v>
      </c>
      <c r="J50" s="284"/>
      <c r="K50" s="284"/>
      <c r="L50" s="285"/>
      <c r="M50" s="453"/>
      <c r="O50" s="400">
        <f t="shared" si="0"/>
        <v>0</v>
      </c>
    </row>
    <row r="51" spans="1:15" s="399" customFormat="1" ht="12">
      <c r="A51" s="280" t="s">
        <v>285</v>
      </c>
      <c r="B51" s="281" t="s">
        <v>174</v>
      </c>
      <c r="C51" s="282" t="s">
        <v>283</v>
      </c>
      <c r="D51" s="281" t="s">
        <v>84</v>
      </c>
      <c r="E51" s="281" t="s">
        <v>33</v>
      </c>
      <c r="F51" s="283">
        <v>41897</v>
      </c>
      <c r="G51" s="283">
        <v>41984</v>
      </c>
      <c r="H51" s="283">
        <v>41990</v>
      </c>
      <c r="I51" s="284">
        <v>417810.44</v>
      </c>
      <c r="J51" s="284"/>
      <c r="K51" s="284"/>
      <c r="L51" s="285"/>
      <c r="M51" s="453"/>
      <c r="O51" s="400">
        <f t="shared" si="0"/>
        <v>0</v>
      </c>
    </row>
    <row r="52" spans="1:15" s="399" customFormat="1" ht="12">
      <c r="A52" s="280" t="s">
        <v>284</v>
      </c>
      <c r="B52" s="287" t="s">
        <v>250</v>
      </c>
      <c r="C52" s="282" t="s">
        <v>283</v>
      </c>
      <c r="D52" s="281" t="s">
        <v>84</v>
      </c>
      <c r="E52" s="281" t="s">
        <v>33</v>
      </c>
      <c r="F52" s="283">
        <v>41897</v>
      </c>
      <c r="G52" s="283">
        <v>41984</v>
      </c>
      <c r="H52" s="283">
        <v>41990</v>
      </c>
      <c r="I52" s="284">
        <v>7000</v>
      </c>
      <c r="M52" s="453"/>
      <c r="O52" s="400">
        <f t="shared" si="0"/>
        <v>0</v>
      </c>
    </row>
    <row r="53" spans="1:15" s="399" customFormat="1" ht="12">
      <c r="A53" s="280" t="s">
        <v>285</v>
      </c>
      <c r="B53" s="281" t="s">
        <v>28</v>
      </c>
      <c r="C53" s="282" t="s">
        <v>283</v>
      </c>
      <c r="D53" s="281" t="s">
        <v>84</v>
      </c>
      <c r="E53" s="281" t="s">
        <v>33</v>
      </c>
      <c r="F53" s="283">
        <v>41897</v>
      </c>
      <c r="G53" s="283">
        <v>41984</v>
      </c>
      <c r="H53" s="283">
        <v>42227</v>
      </c>
      <c r="I53" s="284">
        <v>41610.609999999986</v>
      </c>
      <c r="J53" s="284">
        <f>SUM(I50:I53)</f>
        <v>515772.79</v>
      </c>
      <c r="K53" s="284">
        <v>310000</v>
      </c>
      <c r="L53" s="285">
        <f>+J53-K53</f>
        <v>205772.78999999998</v>
      </c>
      <c r="M53" s="453"/>
      <c r="O53" s="400">
        <f t="shared" si="0"/>
        <v>0</v>
      </c>
    </row>
    <row r="54" spans="1:15" s="399" customFormat="1" ht="12">
      <c r="A54" s="280" t="s">
        <v>282</v>
      </c>
      <c r="B54" s="287" t="s">
        <v>23</v>
      </c>
      <c r="C54" s="282" t="s">
        <v>280</v>
      </c>
      <c r="D54" s="281" t="s">
        <v>279</v>
      </c>
      <c r="E54" s="281" t="s">
        <v>33</v>
      </c>
      <c r="F54" s="283">
        <v>41699</v>
      </c>
      <c r="G54" s="283">
        <v>41753</v>
      </c>
      <c r="H54" s="283">
        <v>41785</v>
      </c>
      <c r="I54" s="284">
        <v>55195.35</v>
      </c>
      <c r="J54" s="284"/>
      <c r="K54" s="284"/>
      <c r="L54" s="285"/>
      <c r="M54" s="453"/>
      <c r="O54" s="400">
        <f t="shared" si="0"/>
        <v>0</v>
      </c>
    </row>
    <row r="55" spans="1:15" s="399" customFormat="1" ht="12">
      <c r="A55" s="280" t="s">
        <v>281</v>
      </c>
      <c r="B55" s="281" t="s">
        <v>28</v>
      </c>
      <c r="C55" s="282" t="s">
        <v>280</v>
      </c>
      <c r="D55" s="281" t="s">
        <v>279</v>
      </c>
      <c r="E55" s="281" t="s">
        <v>33</v>
      </c>
      <c r="F55" s="283">
        <v>41699</v>
      </c>
      <c r="G55" s="283">
        <v>41753</v>
      </c>
      <c r="H55" s="283">
        <v>41793</v>
      </c>
      <c r="I55" s="284">
        <v>299751.3</v>
      </c>
      <c r="J55" s="284">
        <f>SUM(I54:I55)</f>
        <v>354946.64999999997</v>
      </c>
      <c r="K55" s="284">
        <v>310000</v>
      </c>
      <c r="L55" s="285">
        <f>+J55-K55</f>
        <v>44946.649999999965</v>
      </c>
      <c r="M55" s="453"/>
      <c r="O55" s="400">
        <f t="shared" si="0"/>
        <v>0</v>
      </c>
    </row>
    <row r="56" spans="1:15" s="399" customFormat="1" ht="12">
      <c r="A56" s="280" t="s">
        <v>278</v>
      </c>
      <c r="B56" s="287" t="s">
        <v>23</v>
      </c>
      <c r="C56" s="282" t="s">
        <v>276</v>
      </c>
      <c r="D56" s="281" t="s">
        <v>153</v>
      </c>
      <c r="E56" s="281" t="s">
        <v>33</v>
      </c>
      <c r="F56" s="283">
        <v>41740</v>
      </c>
      <c r="G56" s="283">
        <v>41771</v>
      </c>
      <c r="H56" s="283">
        <v>41785</v>
      </c>
      <c r="I56" s="284">
        <v>11316.26</v>
      </c>
      <c r="J56" s="284"/>
      <c r="K56" s="284"/>
      <c r="L56" s="285"/>
      <c r="M56" s="453"/>
      <c r="O56" s="400">
        <f t="shared" si="0"/>
        <v>0</v>
      </c>
    </row>
    <row r="57" spans="1:15" s="399" customFormat="1" ht="12">
      <c r="A57" s="280" t="s">
        <v>277</v>
      </c>
      <c r="B57" s="287" t="s">
        <v>28</v>
      </c>
      <c r="C57" s="282" t="s">
        <v>276</v>
      </c>
      <c r="D57" s="281" t="s">
        <v>153</v>
      </c>
      <c r="E57" s="281" t="s">
        <v>33</v>
      </c>
      <c r="F57" s="283">
        <v>41740</v>
      </c>
      <c r="G57" s="283">
        <v>41771</v>
      </c>
      <c r="H57" s="283">
        <v>41785</v>
      </c>
      <c r="I57" s="284">
        <v>310000</v>
      </c>
      <c r="J57" s="284">
        <f>SUM(I56:I57)</f>
        <v>321316.26</v>
      </c>
      <c r="K57" s="284">
        <v>310000</v>
      </c>
      <c r="L57" s="285">
        <f>+J57-K57</f>
        <v>11316.260000000009</v>
      </c>
      <c r="M57" s="453"/>
      <c r="O57" s="400">
        <f t="shared" si="0"/>
        <v>0</v>
      </c>
    </row>
    <row r="58" spans="1:15" s="399" customFormat="1" ht="12">
      <c r="A58" s="280" t="s">
        <v>275</v>
      </c>
      <c r="B58" s="281" t="s">
        <v>30</v>
      </c>
      <c r="C58" s="282" t="s">
        <v>273</v>
      </c>
      <c r="D58" s="281" t="s">
        <v>230</v>
      </c>
      <c r="E58" s="281" t="s">
        <v>26</v>
      </c>
      <c r="F58" s="283">
        <v>41644</v>
      </c>
      <c r="G58" s="283">
        <v>41724</v>
      </c>
      <c r="H58" s="283">
        <v>41733</v>
      </c>
      <c r="I58" s="284">
        <v>247510.92</v>
      </c>
      <c r="J58" s="284"/>
      <c r="K58" s="284"/>
      <c r="L58" s="285"/>
      <c r="M58" s="453"/>
      <c r="O58" s="400">
        <f t="shared" si="0"/>
        <v>0</v>
      </c>
    </row>
    <row r="59" spans="1:15" s="399" customFormat="1" ht="12">
      <c r="A59" s="280" t="s">
        <v>274</v>
      </c>
      <c r="B59" s="287" t="s">
        <v>28</v>
      </c>
      <c r="C59" s="282" t="s">
        <v>273</v>
      </c>
      <c r="D59" s="281" t="s">
        <v>230</v>
      </c>
      <c r="E59" s="281" t="s">
        <v>26</v>
      </c>
      <c r="F59" s="283">
        <v>41644</v>
      </c>
      <c r="G59" s="283">
        <v>41724</v>
      </c>
      <c r="H59" s="283">
        <v>41733</v>
      </c>
      <c r="I59" s="284">
        <v>400000</v>
      </c>
      <c r="J59" s="284">
        <f>SUM(I58:I59)</f>
        <v>647510.92000000004</v>
      </c>
      <c r="K59" s="284">
        <v>310000</v>
      </c>
      <c r="L59" s="285">
        <f>+J59-K59</f>
        <v>337510.92000000004</v>
      </c>
      <c r="M59" s="453"/>
      <c r="O59" s="400">
        <f t="shared" si="0"/>
        <v>0</v>
      </c>
    </row>
    <row r="60" spans="1:15" s="399" customFormat="1" ht="12">
      <c r="A60" s="282" t="s">
        <v>272</v>
      </c>
      <c r="B60" s="287" t="s">
        <v>28</v>
      </c>
      <c r="C60" s="282" t="s">
        <v>271</v>
      </c>
      <c r="D60" s="282" t="s">
        <v>38</v>
      </c>
      <c r="E60" s="282" t="s">
        <v>33</v>
      </c>
      <c r="F60" s="288">
        <v>41652</v>
      </c>
      <c r="G60" s="288">
        <v>41764</v>
      </c>
      <c r="H60" s="288">
        <v>41806</v>
      </c>
      <c r="I60" s="289">
        <v>680484.15</v>
      </c>
      <c r="J60" s="289">
        <f>+I60</f>
        <v>680484.15</v>
      </c>
      <c r="K60" s="284">
        <v>310000</v>
      </c>
      <c r="L60" s="285">
        <f>+J60-K60</f>
        <v>370484.15</v>
      </c>
      <c r="M60" s="453"/>
      <c r="O60" s="400">
        <f t="shared" si="0"/>
        <v>0</v>
      </c>
    </row>
    <row r="61" spans="1:15" s="399" customFormat="1" ht="12">
      <c r="A61" s="280" t="s">
        <v>270</v>
      </c>
      <c r="B61" s="287" t="s">
        <v>30</v>
      </c>
      <c r="C61" s="282" t="s">
        <v>267</v>
      </c>
      <c r="D61" s="281" t="s">
        <v>230</v>
      </c>
      <c r="E61" s="281" t="s">
        <v>26</v>
      </c>
      <c r="F61" s="283">
        <v>41891</v>
      </c>
      <c r="G61" s="283">
        <v>41946</v>
      </c>
      <c r="H61" s="283">
        <v>41957</v>
      </c>
      <c r="I61" s="284">
        <v>20370.28</v>
      </c>
      <c r="J61" s="284"/>
      <c r="K61" s="284"/>
      <c r="L61" s="285"/>
      <c r="M61" s="453"/>
      <c r="O61" s="400">
        <f t="shared" si="0"/>
        <v>0</v>
      </c>
    </row>
    <row r="62" spans="1:15" s="399" customFormat="1" ht="12">
      <c r="A62" s="280" t="s">
        <v>269</v>
      </c>
      <c r="B62" s="281" t="s">
        <v>28</v>
      </c>
      <c r="C62" s="282" t="s">
        <v>267</v>
      </c>
      <c r="D62" s="281" t="s">
        <v>230</v>
      </c>
      <c r="E62" s="281" t="s">
        <v>26</v>
      </c>
      <c r="F62" s="283">
        <v>41891</v>
      </c>
      <c r="G62" s="283">
        <v>41946</v>
      </c>
      <c r="H62" s="283">
        <v>41957</v>
      </c>
      <c r="I62" s="284">
        <v>57500</v>
      </c>
      <c r="J62" s="284"/>
      <c r="K62" s="284"/>
      <c r="L62" s="285"/>
      <c r="M62" s="453"/>
      <c r="O62" s="400">
        <f t="shared" si="0"/>
        <v>0</v>
      </c>
    </row>
    <row r="63" spans="1:15" s="399" customFormat="1" ht="12">
      <c r="A63" s="280" t="s">
        <v>268</v>
      </c>
      <c r="B63" s="287" t="s">
        <v>93</v>
      </c>
      <c r="C63" s="282" t="s">
        <v>267</v>
      </c>
      <c r="D63" s="281" t="s">
        <v>230</v>
      </c>
      <c r="E63" s="281" t="s">
        <v>26</v>
      </c>
      <c r="F63" s="283">
        <v>41891</v>
      </c>
      <c r="G63" s="283">
        <v>41946</v>
      </c>
      <c r="H63" s="283">
        <v>41957</v>
      </c>
      <c r="I63" s="284">
        <v>265000</v>
      </c>
      <c r="J63" s="284">
        <f>SUM(I61:I63)</f>
        <v>342870.28</v>
      </c>
      <c r="K63" s="284">
        <v>310000</v>
      </c>
      <c r="L63" s="285">
        <f>+J63-K63</f>
        <v>32870.280000000028</v>
      </c>
      <c r="M63" s="453"/>
      <c r="O63" s="400">
        <f t="shared" si="0"/>
        <v>0</v>
      </c>
    </row>
    <row r="64" spans="1:15" s="399" customFormat="1" ht="12">
      <c r="A64" s="280" t="s">
        <v>266</v>
      </c>
      <c r="B64" s="287" t="s">
        <v>28</v>
      </c>
      <c r="C64" s="282" t="s">
        <v>265</v>
      </c>
      <c r="D64" s="281" t="s">
        <v>59</v>
      </c>
      <c r="E64" s="281" t="s">
        <v>33</v>
      </c>
      <c r="F64" s="283">
        <v>41783</v>
      </c>
      <c r="G64" s="283">
        <v>41835</v>
      </c>
      <c r="H64" s="283">
        <v>41879</v>
      </c>
      <c r="I64" s="284">
        <v>888183.54</v>
      </c>
      <c r="J64" s="284">
        <f>+I64</f>
        <v>888183.54</v>
      </c>
      <c r="K64" s="284">
        <v>310000</v>
      </c>
      <c r="L64" s="285">
        <f>+J64-K64</f>
        <v>578183.54</v>
      </c>
      <c r="M64" s="453"/>
      <c r="O64" s="400">
        <f t="shared" si="0"/>
        <v>166479.54000000004</v>
      </c>
    </row>
    <row r="65" spans="1:15" s="399" customFormat="1" ht="12">
      <c r="A65" s="290" t="s">
        <v>264</v>
      </c>
      <c r="B65" s="281" t="s">
        <v>30</v>
      </c>
      <c r="C65" s="282" t="s">
        <v>259</v>
      </c>
      <c r="D65" s="281" t="s">
        <v>230</v>
      </c>
      <c r="E65" s="281" t="s">
        <v>26</v>
      </c>
      <c r="F65" s="288">
        <v>41655</v>
      </c>
      <c r="G65" s="288">
        <v>41708</v>
      </c>
      <c r="H65" s="288">
        <v>41717</v>
      </c>
      <c r="I65" s="289">
        <v>26482.639999999999</v>
      </c>
      <c r="J65" s="288"/>
      <c r="K65" s="288"/>
      <c r="L65" s="285"/>
      <c r="M65" s="453"/>
      <c r="O65" s="400">
        <f t="shared" si="0"/>
        <v>0</v>
      </c>
    </row>
    <row r="66" spans="1:15" s="399" customFormat="1" ht="12">
      <c r="A66" s="290" t="s">
        <v>263</v>
      </c>
      <c r="B66" s="287" t="s">
        <v>30</v>
      </c>
      <c r="C66" s="282" t="s">
        <v>259</v>
      </c>
      <c r="D66" s="281" t="s">
        <v>230</v>
      </c>
      <c r="E66" s="281" t="s">
        <v>26</v>
      </c>
      <c r="F66" s="288">
        <v>41655</v>
      </c>
      <c r="G66" s="288">
        <v>41712</v>
      </c>
      <c r="H66" s="288">
        <v>41716</v>
      </c>
      <c r="I66" s="289">
        <v>307827.12</v>
      </c>
      <c r="J66" s="289"/>
      <c r="K66" s="284"/>
      <c r="L66" s="285"/>
      <c r="M66" s="453"/>
      <c r="O66" s="400">
        <f t="shared" si="0"/>
        <v>0</v>
      </c>
    </row>
    <row r="67" spans="1:15" s="399" customFormat="1" ht="12">
      <c r="A67" s="282" t="s">
        <v>262</v>
      </c>
      <c r="B67" s="287" t="s">
        <v>50</v>
      </c>
      <c r="C67" s="282" t="s">
        <v>259</v>
      </c>
      <c r="D67" s="281" t="s">
        <v>230</v>
      </c>
      <c r="E67" s="281" t="s">
        <v>26</v>
      </c>
      <c r="F67" s="288">
        <v>41655</v>
      </c>
      <c r="G67" s="288">
        <v>41764</v>
      </c>
      <c r="H67" s="288">
        <v>41775</v>
      </c>
      <c r="I67" s="289">
        <v>8000</v>
      </c>
      <c r="J67" s="289"/>
      <c r="K67" s="284"/>
      <c r="L67" s="285"/>
      <c r="M67" s="453"/>
      <c r="O67" s="400">
        <f t="shared" si="0"/>
        <v>0</v>
      </c>
    </row>
    <row r="68" spans="1:15" s="399" customFormat="1" ht="12">
      <c r="A68" s="280" t="s">
        <v>261</v>
      </c>
      <c r="B68" s="281" t="s">
        <v>260</v>
      </c>
      <c r="C68" s="282" t="s">
        <v>259</v>
      </c>
      <c r="D68" s="281" t="s">
        <v>230</v>
      </c>
      <c r="E68" s="281" t="s">
        <v>26</v>
      </c>
      <c r="F68" s="283">
        <v>41655</v>
      </c>
      <c r="G68" s="283">
        <v>41764</v>
      </c>
      <c r="H68" s="283">
        <v>41775</v>
      </c>
      <c r="I68" s="284">
        <v>100000</v>
      </c>
      <c r="J68" s="284">
        <f>SUM(I65:I68)</f>
        <v>442309.76</v>
      </c>
      <c r="K68" s="284">
        <v>310000</v>
      </c>
      <c r="L68" s="285">
        <f>+J68-K68</f>
        <v>132309.76000000001</v>
      </c>
      <c r="M68" s="453"/>
      <c r="O68" s="400">
        <f t="shared" si="0"/>
        <v>0</v>
      </c>
    </row>
    <row r="69" spans="1:15" s="399" customFormat="1" ht="12">
      <c r="A69" s="280" t="s">
        <v>258</v>
      </c>
      <c r="B69" s="281" t="s">
        <v>23</v>
      </c>
      <c r="C69" s="282" t="s">
        <v>254</v>
      </c>
      <c r="D69" s="281" t="s">
        <v>69</v>
      </c>
      <c r="E69" s="281" t="s">
        <v>33</v>
      </c>
      <c r="F69" s="283">
        <v>41764</v>
      </c>
      <c r="G69" s="283">
        <v>41859</v>
      </c>
      <c r="H69" s="283">
        <v>41879</v>
      </c>
      <c r="I69" s="284">
        <v>85538.84</v>
      </c>
      <c r="J69" s="284"/>
      <c r="K69" s="284"/>
      <c r="L69" s="285"/>
      <c r="M69" s="453"/>
      <c r="O69" s="400">
        <f t="shared" si="0"/>
        <v>0</v>
      </c>
    </row>
    <row r="70" spans="1:15" s="399" customFormat="1" ht="12">
      <c r="A70" s="280" t="s">
        <v>257</v>
      </c>
      <c r="B70" s="287" t="s">
        <v>174</v>
      </c>
      <c r="C70" s="282" t="s">
        <v>254</v>
      </c>
      <c r="D70" s="281" t="s">
        <v>69</v>
      </c>
      <c r="E70" s="281" t="s">
        <v>33</v>
      </c>
      <c r="F70" s="283">
        <v>41764</v>
      </c>
      <c r="G70" s="283">
        <v>41859</v>
      </c>
      <c r="H70" s="283">
        <v>41879</v>
      </c>
      <c r="I70" s="284">
        <v>150000</v>
      </c>
      <c r="J70" s="284"/>
      <c r="K70" s="284"/>
      <c r="L70" s="285"/>
      <c r="M70" s="453"/>
      <c r="O70" s="400">
        <f t="shared" si="0"/>
        <v>0</v>
      </c>
    </row>
    <row r="71" spans="1:15" s="399" customFormat="1" ht="12">
      <c r="A71" s="280" t="s">
        <v>256</v>
      </c>
      <c r="B71" s="281" t="s">
        <v>36</v>
      </c>
      <c r="C71" s="282" t="s">
        <v>254</v>
      </c>
      <c r="D71" s="281" t="s">
        <v>69</v>
      </c>
      <c r="E71" s="281" t="s">
        <v>33</v>
      </c>
      <c r="F71" s="283">
        <v>41764</v>
      </c>
      <c r="G71" s="283">
        <v>41859</v>
      </c>
      <c r="H71" s="283">
        <v>41879</v>
      </c>
      <c r="I71" s="284">
        <v>32874.370000000003</v>
      </c>
      <c r="J71" s="284"/>
      <c r="K71" s="284"/>
      <c r="L71" s="285"/>
      <c r="M71" s="453"/>
      <c r="O71" s="400">
        <f t="shared" si="0"/>
        <v>0</v>
      </c>
    </row>
    <row r="72" spans="1:15" s="399" customFormat="1" ht="12">
      <c r="A72" s="280" t="s">
        <v>255</v>
      </c>
      <c r="B72" s="287" t="s">
        <v>36</v>
      </c>
      <c r="C72" s="282" t="s">
        <v>254</v>
      </c>
      <c r="D72" s="281" t="s">
        <v>69</v>
      </c>
      <c r="E72" s="281" t="s">
        <v>33</v>
      </c>
      <c r="F72" s="283">
        <v>41764</v>
      </c>
      <c r="G72" s="283">
        <v>41859</v>
      </c>
      <c r="H72" s="283">
        <v>41879</v>
      </c>
      <c r="I72" s="284">
        <v>362560</v>
      </c>
      <c r="J72" s="284">
        <f>SUM(I69:I72)</f>
        <v>630973.21</v>
      </c>
      <c r="K72" s="284">
        <v>310000</v>
      </c>
      <c r="L72" s="285">
        <f>+J72-K72</f>
        <v>320973.20999999996</v>
      </c>
      <c r="M72" s="453"/>
      <c r="O72" s="400">
        <f t="shared" si="0"/>
        <v>0</v>
      </c>
    </row>
    <row r="73" spans="1:15" s="399" customFormat="1" ht="12">
      <c r="A73" s="280" t="s">
        <v>1392</v>
      </c>
      <c r="B73" s="281" t="s">
        <v>23</v>
      </c>
      <c r="C73" s="282" t="s">
        <v>1396</v>
      </c>
      <c r="D73" s="281" t="s">
        <v>1398</v>
      </c>
      <c r="E73" s="281" t="s">
        <v>33</v>
      </c>
      <c r="F73" s="283">
        <v>41963</v>
      </c>
      <c r="G73" s="283">
        <v>42027</v>
      </c>
      <c r="H73" s="283">
        <v>42046</v>
      </c>
      <c r="I73" s="284">
        <v>17098.93</v>
      </c>
      <c r="J73" s="284"/>
      <c r="K73" s="284"/>
      <c r="L73" s="285"/>
      <c r="M73" s="453"/>
      <c r="O73" s="400">
        <f t="shared" si="0"/>
        <v>0</v>
      </c>
    </row>
    <row r="74" spans="1:15" s="399" customFormat="1" ht="12">
      <c r="A74" s="280" t="s">
        <v>1393</v>
      </c>
      <c r="B74" s="281" t="s">
        <v>23</v>
      </c>
      <c r="C74" s="282" t="s">
        <v>1396</v>
      </c>
      <c r="D74" s="281" t="s">
        <v>1398</v>
      </c>
      <c r="E74" s="281" t="s">
        <v>33</v>
      </c>
      <c r="F74" s="283">
        <v>41963</v>
      </c>
      <c r="G74" s="283">
        <v>42031</v>
      </c>
      <c r="H74" s="283">
        <v>42044</v>
      </c>
      <c r="I74" s="284">
        <v>305000</v>
      </c>
      <c r="J74" s="284"/>
      <c r="K74" s="284"/>
      <c r="L74" s="285"/>
      <c r="M74" s="453"/>
      <c r="O74" s="400">
        <f t="shared" si="0"/>
        <v>0</v>
      </c>
    </row>
    <row r="75" spans="1:15" s="399" customFormat="1" ht="12">
      <c r="A75" s="280" t="s">
        <v>1394</v>
      </c>
      <c r="B75" s="281" t="s">
        <v>28</v>
      </c>
      <c r="C75" s="282" t="s">
        <v>1396</v>
      </c>
      <c r="D75" s="281" t="s">
        <v>1398</v>
      </c>
      <c r="E75" s="281" t="s">
        <v>33</v>
      </c>
      <c r="F75" s="283">
        <v>41963</v>
      </c>
      <c r="G75" s="283">
        <v>42031</v>
      </c>
      <c r="H75" s="283">
        <v>42044</v>
      </c>
      <c r="I75" s="284">
        <v>100000</v>
      </c>
      <c r="J75" s="284">
        <f>+I75+I74+I73</f>
        <v>422098.93</v>
      </c>
      <c r="K75" s="284">
        <v>310000</v>
      </c>
      <c r="L75" s="285">
        <f>+J75-K75</f>
        <v>112098.93</v>
      </c>
      <c r="M75" s="453"/>
      <c r="O75" s="400">
        <f t="shared" ref="O75:O106" si="1">IF($J75&gt;P$8,$J75-P$8,0)</f>
        <v>0</v>
      </c>
    </row>
    <row r="76" spans="1:15" s="399" customFormat="1" ht="12">
      <c r="A76" s="280" t="s">
        <v>253</v>
      </c>
      <c r="B76" s="281" t="s">
        <v>23</v>
      </c>
      <c r="C76" s="282" t="s">
        <v>244</v>
      </c>
      <c r="D76" s="281" t="s">
        <v>243</v>
      </c>
      <c r="E76" s="281" t="s">
        <v>33</v>
      </c>
      <c r="F76" s="283">
        <v>41743</v>
      </c>
      <c r="G76" s="283">
        <v>41768</v>
      </c>
      <c r="H76" s="283">
        <v>41802</v>
      </c>
      <c r="I76" s="284">
        <v>10133.76</v>
      </c>
      <c r="J76" s="284"/>
      <c r="K76" s="284"/>
      <c r="L76" s="285"/>
      <c r="M76" s="453"/>
      <c r="O76" s="400">
        <f t="shared" si="1"/>
        <v>0</v>
      </c>
    </row>
    <row r="77" spans="1:15" s="399" customFormat="1" ht="12">
      <c r="A77" s="280" t="s">
        <v>252</v>
      </c>
      <c r="B77" s="287" t="s">
        <v>28</v>
      </c>
      <c r="C77" s="282" t="s">
        <v>244</v>
      </c>
      <c r="D77" s="281" t="s">
        <v>243</v>
      </c>
      <c r="E77" s="281" t="s">
        <v>33</v>
      </c>
      <c r="F77" s="283">
        <v>41743</v>
      </c>
      <c r="G77" s="283">
        <v>41768</v>
      </c>
      <c r="H77" s="283">
        <v>41781</v>
      </c>
      <c r="I77" s="284">
        <v>58000</v>
      </c>
      <c r="J77" s="284"/>
      <c r="K77" s="284"/>
      <c r="L77" s="285"/>
      <c r="M77" s="453"/>
      <c r="O77" s="400">
        <f t="shared" si="1"/>
        <v>0</v>
      </c>
    </row>
    <row r="78" spans="1:15" s="399" customFormat="1" ht="12">
      <c r="A78" s="280" t="s">
        <v>251</v>
      </c>
      <c r="B78" s="281" t="s">
        <v>250</v>
      </c>
      <c r="C78" s="282" t="s">
        <v>244</v>
      </c>
      <c r="D78" s="281" t="s">
        <v>243</v>
      </c>
      <c r="E78" s="281" t="s">
        <v>33</v>
      </c>
      <c r="F78" s="283">
        <v>41743</v>
      </c>
      <c r="G78" s="283">
        <v>41792</v>
      </c>
      <c r="H78" s="283">
        <v>41800</v>
      </c>
      <c r="I78" s="284">
        <v>30000</v>
      </c>
      <c r="J78" s="284"/>
      <c r="K78" s="284"/>
      <c r="L78" s="285"/>
      <c r="M78" s="453"/>
      <c r="O78" s="400">
        <f t="shared" si="1"/>
        <v>0</v>
      </c>
    </row>
    <row r="79" spans="1:15" s="399" customFormat="1" ht="12">
      <c r="A79" s="280" t="s">
        <v>249</v>
      </c>
      <c r="B79" s="287" t="s">
        <v>245</v>
      </c>
      <c r="C79" s="282" t="s">
        <v>244</v>
      </c>
      <c r="D79" s="281" t="s">
        <v>243</v>
      </c>
      <c r="E79" s="281" t="s">
        <v>33</v>
      </c>
      <c r="F79" s="283">
        <v>41743</v>
      </c>
      <c r="G79" s="283">
        <v>41792</v>
      </c>
      <c r="H79" s="283">
        <v>41800</v>
      </c>
      <c r="I79" s="284">
        <v>70000</v>
      </c>
      <c r="J79" s="284"/>
      <c r="K79" s="284"/>
      <c r="L79" s="285"/>
      <c r="M79" s="453"/>
      <c r="O79" s="400">
        <f t="shared" si="1"/>
        <v>0</v>
      </c>
    </row>
    <row r="80" spans="1:15" s="399" customFormat="1" ht="12">
      <c r="A80" s="280" t="s">
        <v>248</v>
      </c>
      <c r="B80" s="281" t="s">
        <v>245</v>
      </c>
      <c r="C80" s="282" t="s">
        <v>244</v>
      </c>
      <c r="D80" s="281" t="s">
        <v>243</v>
      </c>
      <c r="E80" s="281" t="s">
        <v>33</v>
      </c>
      <c r="F80" s="283">
        <v>41743</v>
      </c>
      <c r="G80" s="283">
        <v>41792</v>
      </c>
      <c r="H80" s="283">
        <v>41817</v>
      </c>
      <c r="I80" s="284">
        <v>65000</v>
      </c>
      <c r="J80" s="284"/>
      <c r="K80" s="284"/>
      <c r="L80" s="285"/>
      <c r="M80" s="453"/>
      <c r="O80" s="400">
        <f t="shared" si="1"/>
        <v>0</v>
      </c>
    </row>
    <row r="81" spans="1:15" s="399" customFormat="1" ht="12">
      <c r="A81" s="280" t="s">
        <v>247</v>
      </c>
      <c r="B81" s="287" t="s">
        <v>245</v>
      </c>
      <c r="C81" s="282" t="s">
        <v>244</v>
      </c>
      <c r="D81" s="281" t="s">
        <v>243</v>
      </c>
      <c r="E81" s="281" t="s">
        <v>33</v>
      </c>
      <c r="F81" s="283">
        <v>41743</v>
      </c>
      <c r="G81" s="283">
        <v>41792</v>
      </c>
      <c r="H81" s="283">
        <v>41817</v>
      </c>
      <c r="I81" s="284">
        <v>10000</v>
      </c>
      <c r="J81" s="284"/>
      <c r="K81" s="284"/>
      <c r="L81" s="285"/>
      <c r="M81" s="453"/>
      <c r="O81" s="400">
        <f t="shared" si="1"/>
        <v>0</v>
      </c>
    </row>
    <row r="82" spans="1:15" s="399" customFormat="1" ht="12">
      <c r="A82" s="280" t="s">
        <v>246</v>
      </c>
      <c r="B82" s="281" t="s">
        <v>245</v>
      </c>
      <c r="C82" s="282" t="s">
        <v>244</v>
      </c>
      <c r="D82" s="281" t="s">
        <v>243</v>
      </c>
      <c r="E82" s="281" t="s">
        <v>33</v>
      </c>
      <c r="F82" s="283">
        <v>41743</v>
      </c>
      <c r="G82" s="283">
        <v>41824</v>
      </c>
      <c r="H82" s="283">
        <v>41835</v>
      </c>
      <c r="I82" s="284">
        <v>73000</v>
      </c>
      <c r="J82" s="284">
        <f>SUM(I76:I82)</f>
        <v>316133.76000000001</v>
      </c>
      <c r="K82" s="284">
        <v>310000</v>
      </c>
      <c r="L82" s="285">
        <f>+J82-K82</f>
        <v>6133.7600000000093</v>
      </c>
      <c r="M82" s="453"/>
      <c r="O82" s="400">
        <f t="shared" si="1"/>
        <v>0</v>
      </c>
    </row>
    <row r="83" spans="1:15" s="399" customFormat="1" ht="12">
      <c r="A83" s="280" t="s">
        <v>242</v>
      </c>
      <c r="B83" s="287" t="s">
        <v>30</v>
      </c>
      <c r="C83" s="282" t="s">
        <v>240</v>
      </c>
      <c r="D83" s="281" t="s">
        <v>239</v>
      </c>
      <c r="E83" s="281" t="s">
        <v>33</v>
      </c>
      <c r="F83" s="283">
        <v>41654</v>
      </c>
      <c r="G83" s="283">
        <v>41802</v>
      </c>
      <c r="H83" s="283">
        <v>41817</v>
      </c>
      <c r="I83" s="284">
        <v>153000</v>
      </c>
      <c r="J83" s="284"/>
      <c r="K83" s="284"/>
      <c r="L83" s="285"/>
      <c r="M83" s="453"/>
      <c r="O83" s="400">
        <f t="shared" si="1"/>
        <v>0</v>
      </c>
    </row>
    <row r="84" spans="1:15" s="399" customFormat="1" ht="12">
      <c r="A84" s="280" t="s">
        <v>241</v>
      </c>
      <c r="B84" s="287" t="s">
        <v>28</v>
      </c>
      <c r="C84" s="282" t="s">
        <v>240</v>
      </c>
      <c r="D84" s="281" t="s">
        <v>239</v>
      </c>
      <c r="E84" s="281" t="s">
        <v>33</v>
      </c>
      <c r="F84" s="283">
        <v>41654</v>
      </c>
      <c r="G84" s="283">
        <v>41802</v>
      </c>
      <c r="H84" s="283">
        <v>41817</v>
      </c>
      <c r="I84" s="284">
        <v>250000</v>
      </c>
      <c r="J84" s="284">
        <f>+I84+I83</f>
        <v>403000</v>
      </c>
      <c r="K84" s="284">
        <v>310000</v>
      </c>
      <c r="L84" s="285">
        <f>+J84-K84</f>
        <v>93000</v>
      </c>
      <c r="M84" s="453"/>
      <c r="O84" s="400">
        <f t="shared" si="1"/>
        <v>0</v>
      </c>
    </row>
    <row r="85" spans="1:15" s="399" customFormat="1" ht="12">
      <c r="A85" s="280" t="s">
        <v>238</v>
      </c>
      <c r="B85" s="281" t="s">
        <v>28</v>
      </c>
      <c r="C85" s="282" t="s">
        <v>236</v>
      </c>
      <c r="D85" s="281" t="s">
        <v>230</v>
      </c>
      <c r="E85" s="281" t="s">
        <v>26</v>
      </c>
      <c r="F85" s="283">
        <v>41681</v>
      </c>
      <c r="G85" s="283">
        <v>41712</v>
      </c>
      <c r="H85" s="283">
        <v>41717</v>
      </c>
      <c r="I85" s="284">
        <v>298474.88</v>
      </c>
      <c r="J85" s="284"/>
      <c r="K85" s="284"/>
      <c r="L85" s="285"/>
      <c r="M85" s="453"/>
      <c r="O85" s="400">
        <f t="shared" si="1"/>
        <v>0</v>
      </c>
    </row>
    <row r="86" spans="1:15" s="399" customFormat="1" ht="12">
      <c r="A86" s="280" t="s">
        <v>237</v>
      </c>
      <c r="B86" s="287" t="s">
        <v>30</v>
      </c>
      <c r="C86" s="282" t="s">
        <v>236</v>
      </c>
      <c r="D86" s="281" t="s">
        <v>230</v>
      </c>
      <c r="E86" s="281" t="s">
        <v>26</v>
      </c>
      <c r="F86" s="283">
        <v>41681</v>
      </c>
      <c r="G86" s="283">
        <v>41718</v>
      </c>
      <c r="H86" s="283">
        <v>41724</v>
      </c>
      <c r="I86" s="284">
        <v>105000</v>
      </c>
      <c r="J86" s="284">
        <f>+I86+I85</f>
        <v>403474.88</v>
      </c>
      <c r="K86" s="284">
        <v>310000</v>
      </c>
      <c r="L86" s="285">
        <f>+J86-K86</f>
        <v>93474.880000000005</v>
      </c>
      <c r="M86" s="453"/>
      <c r="O86" s="400">
        <f t="shared" si="1"/>
        <v>0</v>
      </c>
    </row>
    <row r="87" spans="1:15" s="399" customFormat="1" ht="12">
      <c r="A87" s="280" t="s">
        <v>235</v>
      </c>
      <c r="B87" s="281" t="s">
        <v>140</v>
      </c>
      <c r="C87" s="282" t="s">
        <v>234</v>
      </c>
      <c r="D87" s="281" t="s">
        <v>38</v>
      </c>
      <c r="E87" s="281" t="s">
        <v>33</v>
      </c>
      <c r="F87" s="283">
        <v>41659</v>
      </c>
      <c r="G87" s="283">
        <v>41719</v>
      </c>
      <c r="H87" s="283">
        <v>41739</v>
      </c>
      <c r="I87" s="284">
        <v>550000</v>
      </c>
      <c r="J87" s="284">
        <f>+I87</f>
        <v>550000</v>
      </c>
      <c r="K87" s="284">
        <v>310000</v>
      </c>
      <c r="L87" s="285">
        <f>+J87-K87</f>
        <v>240000</v>
      </c>
      <c r="M87" s="453"/>
      <c r="O87" s="400">
        <f t="shared" si="1"/>
        <v>0</v>
      </c>
    </row>
    <row r="88" spans="1:15" s="399" customFormat="1" ht="12">
      <c r="A88" s="280" t="s">
        <v>233</v>
      </c>
      <c r="B88" s="287" t="s">
        <v>30</v>
      </c>
      <c r="C88" s="282" t="s">
        <v>231</v>
      </c>
      <c r="D88" s="281" t="s">
        <v>230</v>
      </c>
      <c r="E88" s="281" t="s">
        <v>26</v>
      </c>
      <c r="F88" s="283">
        <v>41724</v>
      </c>
      <c r="G88" s="283">
        <v>41761</v>
      </c>
      <c r="H88" s="283">
        <v>41801</v>
      </c>
      <c r="I88" s="284">
        <v>303000</v>
      </c>
      <c r="J88" s="284"/>
      <c r="K88" s="284"/>
      <c r="L88" s="285"/>
      <c r="M88" s="453"/>
      <c r="O88" s="400">
        <f t="shared" si="1"/>
        <v>0</v>
      </c>
    </row>
    <row r="89" spans="1:15" s="399" customFormat="1" ht="12">
      <c r="A89" s="280" t="s">
        <v>232</v>
      </c>
      <c r="B89" s="281" t="s">
        <v>28</v>
      </c>
      <c r="C89" s="282" t="s">
        <v>231</v>
      </c>
      <c r="D89" s="281" t="s">
        <v>230</v>
      </c>
      <c r="E89" s="281" t="s">
        <v>26</v>
      </c>
      <c r="F89" s="283">
        <v>41724</v>
      </c>
      <c r="G89" s="283">
        <v>41761</v>
      </c>
      <c r="H89" s="283">
        <v>41801</v>
      </c>
      <c r="I89" s="284">
        <v>250000</v>
      </c>
      <c r="J89" s="284">
        <f>+I89+I88</f>
        <v>553000</v>
      </c>
      <c r="K89" s="284">
        <v>310000</v>
      </c>
      <c r="L89" s="285">
        <f>+J89-K89</f>
        <v>243000</v>
      </c>
      <c r="M89" s="453"/>
      <c r="O89" s="400">
        <f t="shared" si="1"/>
        <v>0</v>
      </c>
    </row>
    <row r="90" spans="1:15" s="399" customFormat="1" ht="12">
      <c r="A90" s="280" t="s">
        <v>229</v>
      </c>
      <c r="B90" s="281" t="s">
        <v>23</v>
      </c>
      <c r="C90" s="282" t="s">
        <v>227</v>
      </c>
      <c r="D90" s="281" t="s">
        <v>226</v>
      </c>
      <c r="E90" s="281" t="s">
        <v>33</v>
      </c>
      <c r="F90" s="283">
        <v>41812</v>
      </c>
      <c r="G90" s="283">
        <v>41837</v>
      </c>
      <c r="H90" s="283">
        <v>41857</v>
      </c>
      <c r="I90" s="284">
        <v>88190.56</v>
      </c>
      <c r="J90" s="284"/>
      <c r="K90" s="284"/>
      <c r="L90" s="285"/>
      <c r="M90" s="453"/>
      <c r="O90" s="400">
        <f t="shared" si="1"/>
        <v>0</v>
      </c>
    </row>
    <row r="91" spans="1:15" s="399" customFormat="1" ht="12">
      <c r="A91" s="280" t="s">
        <v>228</v>
      </c>
      <c r="B91" s="287" t="s">
        <v>174</v>
      </c>
      <c r="C91" s="282" t="s">
        <v>227</v>
      </c>
      <c r="D91" s="281" t="s">
        <v>226</v>
      </c>
      <c r="E91" s="281" t="s">
        <v>33</v>
      </c>
      <c r="F91" s="283">
        <v>41812</v>
      </c>
      <c r="G91" s="283">
        <v>41837</v>
      </c>
      <c r="H91" s="283">
        <v>41857</v>
      </c>
      <c r="I91" s="284">
        <v>290000</v>
      </c>
      <c r="J91" s="284">
        <f>+I91+I90</f>
        <v>378190.56</v>
      </c>
      <c r="K91" s="284">
        <v>310000</v>
      </c>
      <c r="L91" s="285">
        <f>+J91-K91</f>
        <v>68190.559999999998</v>
      </c>
      <c r="M91" s="453"/>
      <c r="O91" s="400">
        <f t="shared" si="1"/>
        <v>0</v>
      </c>
    </row>
    <row r="92" spans="1:15" s="399" customFormat="1" ht="12">
      <c r="A92" s="280" t="s">
        <v>1389</v>
      </c>
      <c r="B92" s="281" t="s">
        <v>28</v>
      </c>
      <c r="C92" s="282" t="s">
        <v>1391</v>
      </c>
      <c r="D92" s="281" t="s">
        <v>750</v>
      </c>
      <c r="E92" s="281" t="s">
        <v>33</v>
      </c>
      <c r="F92" s="283">
        <v>41954</v>
      </c>
      <c r="G92" s="283">
        <v>41990</v>
      </c>
      <c r="H92" s="283">
        <v>42032</v>
      </c>
      <c r="I92" s="284">
        <v>270800</v>
      </c>
      <c r="J92" s="284"/>
      <c r="K92" s="284"/>
      <c r="L92" s="285"/>
      <c r="M92" s="453"/>
      <c r="O92" s="400">
        <f t="shared" si="1"/>
        <v>0</v>
      </c>
    </row>
    <row r="93" spans="1:15" s="399" customFormat="1" ht="12">
      <c r="A93" s="280" t="s">
        <v>1390</v>
      </c>
      <c r="B93" s="281" t="s">
        <v>23</v>
      </c>
      <c r="C93" s="282" t="s">
        <v>1391</v>
      </c>
      <c r="D93" s="281" t="s">
        <v>750</v>
      </c>
      <c r="E93" s="281" t="s">
        <v>33</v>
      </c>
      <c r="F93" s="283">
        <v>41954</v>
      </c>
      <c r="G93" s="283">
        <v>41990</v>
      </c>
      <c r="H93" s="283">
        <v>42365</v>
      </c>
      <c r="I93" s="284">
        <v>115000</v>
      </c>
      <c r="J93" s="284">
        <f>+I93+I92</f>
        <v>385800</v>
      </c>
      <c r="K93" s="284">
        <v>310000</v>
      </c>
      <c r="L93" s="285">
        <f>+J93-K93</f>
        <v>75800</v>
      </c>
      <c r="M93" s="453"/>
      <c r="O93" s="400">
        <f t="shared" si="1"/>
        <v>0</v>
      </c>
    </row>
    <row r="94" spans="1:15" s="399" customFormat="1" ht="12">
      <c r="A94" s="280" t="s">
        <v>1395</v>
      </c>
      <c r="B94" s="281" t="s">
        <v>28</v>
      </c>
      <c r="C94" s="282" t="s">
        <v>1397</v>
      </c>
      <c r="D94" s="281" t="s">
        <v>1399</v>
      </c>
      <c r="E94" s="281" t="s">
        <v>33</v>
      </c>
      <c r="F94" s="283">
        <v>41964</v>
      </c>
      <c r="G94" s="283">
        <v>42030</v>
      </c>
      <c r="H94" s="283">
        <v>42044</v>
      </c>
      <c r="I94" s="284">
        <v>329870.11</v>
      </c>
      <c r="J94" s="284">
        <f>+I94</f>
        <v>329870.11</v>
      </c>
      <c r="K94" s="284">
        <v>310000</v>
      </c>
      <c r="L94" s="285">
        <f>+J94-K94</f>
        <v>19870.109999999986</v>
      </c>
      <c r="M94" s="453"/>
      <c r="O94" s="400">
        <f t="shared" si="1"/>
        <v>0</v>
      </c>
    </row>
    <row r="95" spans="1:15" s="399" customFormat="1" ht="12">
      <c r="A95" s="280" t="s">
        <v>1405</v>
      </c>
      <c r="B95" s="281" t="s">
        <v>28</v>
      </c>
      <c r="C95" s="282" t="s">
        <v>1408</v>
      </c>
      <c r="D95" s="281" t="s">
        <v>69</v>
      </c>
      <c r="E95" s="281" t="s">
        <v>33</v>
      </c>
      <c r="F95" s="283">
        <v>41811</v>
      </c>
      <c r="G95" s="283">
        <v>41992</v>
      </c>
      <c r="H95" s="283">
        <v>42020</v>
      </c>
      <c r="I95" s="284">
        <v>100000</v>
      </c>
      <c r="J95" s="284"/>
      <c r="K95" s="284"/>
      <c r="L95" s="285"/>
      <c r="M95" s="453"/>
      <c r="O95" s="400">
        <f t="shared" si="1"/>
        <v>0</v>
      </c>
    </row>
    <row r="96" spans="1:15" s="399" customFormat="1" ht="12">
      <c r="A96" s="280" t="s">
        <v>1406</v>
      </c>
      <c r="B96" s="281" t="s">
        <v>30</v>
      </c>
      <c r="C96" s="282" t="s">
        <v>1408</v>
      </c>
      <c r="D96" s="281" t="s">
        <v>69</v>
      </c>
      <c r="E96" s="281" t="s">
        <v>33</v>
      </c>
      <c r="F96" s="283">
        <v>41811</v>
      </c>
      <c r="G96" s="283">
        <v>42081</v>
      </c>
      <c r="H96" s="283">
        <v>42109</v>
      </c>
      <c r="I96" s="284">
        <v>52863.98</v>
      </c>
      <c r="J96" s="284"/>
      <c r="K96" s="284"/>
      <c r="L96" s="285"/>
      <c r="M96" s="453"/>
      <c r="O96" s="400">
        <f t="shared" si="1"/>
        <v>0</v>
      </c>
    </row>
    <row r="97" spans="1:15" s="399" customFormat="1" ht="12">
      <c r="A97" s="280" t="s">
        <v>1407</v>
      </c>
      <c r="B97" s="281" t="s">
        <v>28</v>
      </c>
      <c r="C97" s="282" t="s">
        <v>1408</v>
      </c>
      <c r="D97" s="281" t="s">
        <v>69</v>
      </c>
      <c r="E97" s="281" t="s">
        <v>33</v>
      </c>
      <c r="F97" s="283">
        <v>41811</v>
      </c>
      <c r="G97" s="283">
        <v>42081</v>
      </c>
      <c r="H97" s="283">
        <v>42109</v>
      </c>
      <c r="I97" s="284">
        <v>180207.99</v>
      </c>
      <c r="J97" s="284">
        <f>SUM(I95:I97)</f>
        <v>333071.96999999997</v>
      </c>
      <c r="K97" s="284">
        <v>310000</v>
      </c>
      <c r="L97" s="285">
        <f>+J97-K97</f>
        <v>23071.969999999972</v>
      </c>
      <c r="M97" s="453"/>
      <c r="O97" s="400">
        <f t="shared" si="1"/>
        <v>0</v>
      </c>
    </row>
    <row r="98" spans="1:15" s="399" customFormat="1" ht="12">
      <c r="A98" s="280" t="s">
        <v>1400</v>
      </c>
      <c r="B98" s="281" t="s">
        <v>23</v>
      </c>
      <c r="C98" s="282" t="s">
        <v>1403</v>
      </c>
      <c r="D98" s="281" t="s">
        <v>1404</v>
      </c>
      <c r="E98" s="281" t="s">
        <v>33</v>
      </c>
      <c r="F98" s="283">
        <v>41980</v>
      </c>
      <c r="G98" s="283">
        <v>42048</v>
      </c>
      <c r="H98" s="283">
        <v>42068</v>
      </c>
      <c r="I98" s="284">
        <v>53000</v>
      </c>
      <c r="J98" s="284"/>
      <c r="K98" s="284"/>
      <c r="L98" s="285"/>
      <c r="M98" s="453"/>
      <c r="O98" s="400">
        <f t="shared" si="1"/>
        <v>0</v>
      </c>
    </row>
    <row r="99" spans="1:15" s="399" customFormat="1" ht="12">
      <c r="A99" s="280" t="s">
        <v>1401</v>
      </c>
      <c r="B99" s="281" t="s">
        <v>28</v>
      </c>
      <c r="C99" s="282" t="s">
        <v>1403</v>
      </c>
      <c r="D99" s="281" t="s">
        <v>1404</v>
      </c>
      <c r="E99" s="281" t="s">
        <v>33</v>
      </c>
      <c r="F99" s="283">
        <v>41980</v>
      </c>
      <c r="G99" s="283">
        <v>42048</v>
      </c>
      <c r="H99" s="283">
        <v>42067</v>
      </c>
      <c r="I99" s="284">
        <v>500000</v>
      </c>
      <c r="J99" s="284"/>
      <c r="K99" s="284"/>
      <c r="L99" s="285"/>
      <c r="M99" s="453"/>
      <c r="O99" s="400">
        <f t="shared" si="1"/>
        <v>0</v>
      </c>
    </row>
    <row r="100" spans="1:15" s="399" customFormat="1" ht="12">
      <c r="A100" s="280" t="s">
        <v>1402</v>
      </c>
      <c r="B100" s="281" t="s">
        <v>50</v>
      </c>
      <c r="C100" s="282" t="s">
        <v>1403</v>
      </c>
      <c r="D100" s="281" t="s">
        <v>1404</v>
      </c>
      <c r="E100" s="281" t="s">
        <v>33</v>
      </c>
      <c r="F100" s="283">
        <v>41980</v>
      </c>
      <c r="G100" s="283">
        <v>42048</v>
      </c>
      <c r="H100" s="283">
        <v>42060</v>
      </c>
      <c r="I100" s="284">
        <v>7000</v>
      </c>
      <c r="J100" s="284"/>
      <c r="K100" s="284"/>
      <c r="L100" s="285"/>
      <c r="M100" s="453"/>
      <c r="O100" s="400">
        <f t="shared" si="1"/>
        <v>0</v>
      </c>
    </row>
    <row r="101" spans="1:15" s="399" customFormat="1" ht="12">
      <c r="A101" s="280" t="s">
        <v>1409</v>
      </c>
      <c r="B101" s="281" t="s">
        <v>28</v>
      </c>
      <c r="C101" s="282" t="s">
        <v>1403</v>
      </c>
      <c r="D101" s="281" t="s">
        <v>1404</v>
      </c>
      <c r="E101" s="281" t="s">
        <v>33</v>
      </c>
      <c r="F101" s="283">
        <v>41980</v>
      </c>
      <c r="G101" s="283">
        <v>42205</v>
      </c>
      <c r="H101" s="283">
        <v>42212</v>
      </c>
      <c r="I101" s="284">
        <v>27900</v>
      </c>
      <c r="J101" s="284"/>
      <c r="K101" s="284"/>
      <c r="L101" s="285"/>
      <c r="M101" s="453"/>
      <c r="O101" s="400">
        <f t="shared" si="1"/>
        <v>0</v>
      </c>
    </row>
    <row r="102" spans="1:15" s="399" customFormat="1" ht="12">
      <c r="A102" s="280" t="s">
        <v>1410</v>
      </c>
      <c r="B102" s="281" t="s">
        <v>30</v>
      </c>
      <c r="C102" s="282" t="s">
        <v>1403</v>
      </c>
      <c r="D102" s="281" t="s">
        <v>1404</v>
      </c>
      <c r="E102" s="281" t="s">
        <v>33</v>
      </c>
      <c r="F102" s="283">
        <v>41980</v>
      </c>
      <c r="G102" s="283">
        <v>42205</v>
      </c>
      <c r="H102" s="283">
        <v>42212</v>
      </c>
      <c r="I102" s="284">
        <v>35237.97</v>
      </c>
      <c r="J102" s="284">
        <f>SUM(I98:I102)</f>
        <v>623137.97</v>
      </c>
      <c r="K102" s="284">
        <v>310000</v>
      </c>
      <c r="L102" s="285">
        <f>+J102-K102</f>
        <v>313137.96999999997</v>
      </c>
      <c r="M102" s="453"/>
      <c r="O102" s="400">
        <f t="shared" si="1"/>
        <v>0</v>
      </c>
    </row>
    <row r="103" spans="1:15" s="399" customFormat="1" ht="12">
      <c r="A103" s="280" t="s">
        <v>225</v>
      </c>
      <c r="B103" s="281" t="s">
        <v>23</v>
      </c>
      <c r="C103" s="282" t="s">
        <v>223</v>
      </c>
      <c r="D103" s="281" t="s">
        <v>222</v>
      </c>
      <c r="E103" s="281" t="s">
        <v>33</v>
      </c>
      <c r="F103" s="283">
        <v>41719</v>
      </c>
      <c r="G103" s="283">
        <v>41830</v>
      </c>
      <c r="H103" s="283">
        <v>41837</v>
      </c>
      <c r="I103" s="284">
        <v>111300.63</v>
      </c>
      <c r="J103" s="284"/>
      <c r="K103" s="284"/>
      <c r="L103" s="285">
        <f>+J103-K103</f>
        <v>0</v>
      </c>
      <c r="M103" s="453"/>
      <c r="O103" s="400">
        <f t="shared" si="1"/>
        <v>0</v>
      </c>
    </row>
    <row r="104" spans="1:15" s="399" customFormat="1" ht="12">
      <c r="A104" s="280" t="s">
        <v>224</v>
      </c>
      <c r="B104" s="281" t="s">
        <v>28</v>
      </c>
      <c r="C104" s="282" t="s">
        <v>223</v>
      </c>
      <c r="D104" s="281" t="s">
        <v>222</v>
      </c>
      <c r="E104" s="281" t="s">
        <v>33</v>
      </c>
      <c r="F104" s="283">
        <v>41719</v>
      </c>
      <c r="G104" s="283">
        <v>41830</v>
      </c>
      <c r="H104" s="283">
        <v>41856</v>
      </c>
      <c r="I104" s="284">
        <v>452016.66</v>
      </c>
      <c r="J104" s="284">
        <f>+I104+I103</f>
        <v>563317.29</v>
      </c>
      <c r="K104" s="284">
        <v>310000</v>
      </c>
      <c r="L104" s="285">
        <f>+J104-K104</f>
        <v>253317.29000000004</v>
      </c>
      <c r="M104" s="453"/>
      <c r="O104" s="400">
        <f t="shared" si="1"/>
        <v>0</v>
      </c>
    </row>
    <row r="105" spans="1:15" s="399" customFormat="1" ht="12">
      <c r="A105" s="280" t="s">
        <v>221</v>
      </c>
      <c r="B105" s="281" t="s">
        <v>220</v>
      </c>
      <c r="C105" s="282" t="s">
        <v>218</v>
      </c>
      <c r="D105" s="281" t="s">
        <v>38</v>
      </c>
      <c r="E105" s="281" t="s">
        <v>33</v>
      </c>
      <c r="F105" s="283">
        <v>41651</v>
      </c>
      <c r="G105" s="283">
        <v>41687</v>
      </c>
      <c r="H105" s="283">
        <v>41695</v>
      </c>
      <c r="I105" s="284">
        <v>53725.91</v>
      </c>
      <c r="J105" s="284"/>
      <c r="K105" s="284"/>
      <c r="L105" s="285"/>
      <c r="M105" s="453"/>
      <c r="O105" s="400">
        <f t="shared" si="1"/>
        <v>0</v>
      </c>
    </row>
    <row r="106" spans="1:15" s="399" customFormat="1" ht="12.6" thickBot="1">
      <c r="A106" s="280" t="s">
        <v>219</v>
      </c>
      <c r="B106" s="281" t="s">
        <v>28</v>
      </c>
      <c r="C106" s="282" t="s">
        <v>218</v>
      </c>
      <c r="D106" s="281" t="s">
        <v>38</v>
      </c>
      <c r="E106" s="281" t="s">
        <v>33</v>
      </c>
      <c r="F106" s="283">
        <v>41651</v>
      </c>
      <c r="G106" s="283">
        <v>41687</v>
      </c>
      <c r="H106" s="283">
        <v>41695</v>
      </c>
      <c r="I106" s="284">
        <v>287878.63</v>
      </c>
      <c r="J106" s="284">
        <f>+I106+I105</f>
        <v>341604.54000000004</v>
      </c>
      <c r="K106" s="284">
        <v>310000</v>
      </c>
      <c r="L106" s="285">
        <f>+J106-K106</f>
        <v>31604.540000000037</v>
      </c>
      <c r="M106" s="453"/>
      <c r="O106" s="400">
        <f t="shared" si="1"/>
        <v>0</v>
      </c>
    </row>
    <row r="107" spans="1:15" ht="15" thickBot="1">
      <c r="A107" s="275"/>
      <c r="B107" s="275"/>
      <c r="C107" s="275"/>
      <c r="D107" s="275"/>
      <c r="E107" s="275"/>
      <c r="F107" s="275"/>
      <c r="G107" s="275"/>
      <c r="H107" s="275" t="s">
        <v>215</v>
      </c>
      <c r="I107" s="276">
        <f>SUM(I10:I106)</f>
        <v>16330112.360000001</v>
      </c>
      <c r="J107" s="276">
        <f t="shared" ref="J107:L107" si="2">SUM(J10:J106)</f>
        <v>16330112.359999999</v>
      </c>
      <c r="K107" s="276">
        <f t="shared" si="2"/>
        <v>10230000</v>
      </c>
      <c r="L107" s="276">
        <f t="shared" si="2"/>
        <v>6100112.3599999985</v>
      </c>
      <c r="M107" s="276"/>
      <c r="O107" s="277">
        <f>SUM(O10:O106)</f>
        <v>580146.98</v>
      </c>
    </row>
  </sheetData>
  <autoFilter ref="A9:M9" xr:uid="{00000000-0009-0000-0000-000004000000}"/>
  <sortState xmlns:xlrd2="http://schemas.microsoft.com/office/spreadsheetml/2017/richdata2" ref="A13:M109">
    <sortCondition ref="C13:C109"/>
  </sortState>
  <mergeCells count="7">
    <mergeCell ref="O6:P6"/>
    <mergeCell ref="A8:M8"/>
    <mergeCell ref="A3:B3"/>
    <mergeCell ref="A4:B4"/>
    <mergeCell ref="A5:B5"/>
    <mergeCell ref="A6:M6"/>
    <mergeCell ref="A7:M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4"/>
  <sheetViews>
    <sheetView workbookViewId="0">
      <selection activeCell="A9" sqref="A9"/>
    </sheetView>
  </sheetViews>
  <sheetFormatPr baseColWidth="10" defaultRowHeight="14.4"/>
  <cols>
    <col min="1" max="1" width="22.6640625" style="72" bestFit="1" customWidth="1"/>
    <col min="2" max="2" width="21" style="72" bestFit="1" customWidth="1"/>
    <col min="3" max="3" width="53" style="72" bestFit="1" customWidth="1"/>
    <col min="4" max="4" width="47" style="72" customWidth="1"/>
    <col min="5" max="5" width="17" style="72" customWidth="1"/>
    <col min="6" max="7" width="11.44140625" style="72" customWidth="1"/>
    <col min="8" max="8" width="13.88671875" style="72" customWidth="1"/>
    <col min="9" max="10" width="14" style="72" bestFit="1" customWidth="1"/>
    <col min="11" max="11" width="15" style="72" bestFit="1" customWidth="1"/>
    <col min="12" max="12" width="19.6640625" style="72" bestFit="1" customWidth="1"/>
    <col min="13" max="13" width="15.44140625" style="72" bestFit="1" customWidth="1"/>
    <col min="14" max="14" width="11.5546875" style="72"/>
    <col min="15" max="15" width="20.21875" style="72" bestFit="1" customWidth="1"/>
    <col min="16" max="16" width="13" style="72" bestFit="1" customWidth="1"/>
    <col min="17" max="16384" width="11.5546875" style="72"/>
  </cols>
  <sheetData>
    <row r="1" spans="1:16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6" ht="18.600000000000001" thickBot="1">
      <c r="A2" s="202" t="s">
        <v>0</v>
      </c>
      <c r="B2" s="149"/>
      <c r="C2" s="203" t="s">
        <v>1</v>
      </c>
      <c r="D2" s="204"/>
      <c r="E2" s="204"/>
      <c r="F2" s="204"/>
      <c r="G2" s="204"/>
      <c r="H2" s="204"/>
      <c r="I2" s="204"/>
      <c r="J2" s="204"/>
      <c r="K2" s="204"/>
      <c r="L2" s="204"/>
      <c r="M2" s="205"/>
    </row>
    <row r="3" spans="1:16" ht="18.600000000000001" thickBot="1">
      <c r="A3" s="742" t="s">
        <v>2</v>
      </c>
      <c r="B3" s="743"/>
      <c r="C3" s="203" t="s">
        <v>3</v>
      </c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16" ht="18.600000000000001" thickBot="1">
      <c r="A4" s="745" t="s">
        <v>4</v>
      </c>
      <c r="B4" s="746"/>
      <c r="C4" s="207">
        <v>22.5122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6" ht="16.2" thickBot="1">
      <c r="A5" s="749" t="s">
        <v>5</v>
      </c>
      <c r="B5" s="750"/>
      <c r="C5" s="208" t="s">
        <v>1520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6" ht="18.600000000000001" thickBot="1">
      <c r="A6" s="739"/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16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16" ht="18">
      <c r="A8" s="753" t="s">
        <v>1519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5"/>
      <c r="O8" s="268" t="s">
        <v>1090</v>
      </c>
      <c r="P8" s="269">
        <f>'BURNING COST'!F8</f>
        <v>721704</v>
      </c>
    </row>
    <row r="9" spans="1:16" ht="28.8">
      <c r="A9" s="278" t="s">
        <v>9</v>
      </c>
      <c r="B9" s="215" t="s">
        <v>10</v>
      </c>
      <c r="C9" s="215" t="s">
        <v>11</v>
      </c>
      <c r="D9" s="215" t="s">
        <v>12</v>
      </c>
      <c r="E9" s="279" t="s">
        <v>13</v>
      </c>
      <c r="F9" s="279" t="s">
        <v>14</v>
      </c>
      <c r="G9" s="279" t="s">
        <v>15</v>
      </c>
      <c r="H9" s="279" t="s">
        <v>16</v>
      </c>
      <c r="I9" s="278" t="s">
        <v>17</v>
      </c>
      <c r="J9" s="279" t="s">
        <v>18</v>
      </c>
      <c r="K9" s="215" t="s">
        <v>19</v>
      </c>
      <c r="L9" s="215" t="s">
        <v>20</v>
      </c>
      <c r="M9" s="215" t="s">
        <v>21</v>
      </c>
      <c r="O9" s="259" t="s">
        <v>1091</v>
      </c>
    </row>
    <row r="10" spans="1:16">
      <c r="A10" s="280" t="s">
        <v>1518</v>
      </c>
      <c r="B10" s="281" t="s">
        <v>23</v>
      </c>
      <c r="C10" s="282" t="s">
        <v>1516</v>
      </c>
      <c r="D10" s="281" t="s">
        <v>26</v>
      </c>
      <c r="E10" s="281" t="s">
        <v>25</v>
      </c>
      <c r="F10" s="283">
        <v>42175</v>
      </c>
      <c r="G10" s="283">
        <v>42320</v>
      </c>
      <c r="H10" s="283">
        <v>42347</v>
      </c>
      <c r="I10" s="284">
        <v>205000</v>
      </c>
      <c r="J10" s="284"/>
      <c r="K10" s="284"/>
      <c r="L10" s="285"/>
      <c r="M10" s="286"/>
      <c r="O10" s="261">
        <f>IF($J10&gt;P$8,$J10-P$8,0)</f>
        <v>0</v>
      </c>
    </row>
    <row r="11" spans="1:16">
      <c r="A11" s="280" t="s">
        <v>1517</v>
      </c>
      <c r="B11" s="281" t="s">
        <v>28</v>
      </c>
      <c r="C11" s="282" t="s">
        <v>1516</v>
      </c>
      <c r="D11" s="281" t="s">
        <v>26</v>
      </c>
      <c r="E11" s="281" t="s">
        <v>25</v>
      </c>
      <c r="F11" s="283">
        <v>42175</v>
      </c>
      <c r="G11" s="283">
        <v>42320</v>
      </c>
      <c r="H11" s="283">
        <v>42347</v>
      </c>
      <c r="I11" s="284">
        <v>284427.93</v>
      </c>
      <c r="J11" s="284">
        <f>+I11+I10</f>
        <v>489427.93</v>
      </c>
      <c r="K11" s="284">
        <v>310000</v>
      </c>
      <c r="L11" s="285">
        <v>179427.93</v>
      </c>
      <c r="M11" s="286"/>
      <c r="O11" s="261">
        <f t="shared" ref="O11:O72" si="0">IF($J11&gt;P$8,$J11-P$8,0)</f>
        <v>0</v>
      </c>
    </row>
    <row r="12" spans="1:16">
      <c r="A12" s="280" t="s">
        <v>1554</v>
      </c>
      <c r="B12" s="287" t="s">
        <v>30</v>
      </c>
      <c r="C12" s="282" t="s">
        <v>1529</v>
      </c>
      <c r="D12" s="281" t="s">
        <v>33</v>
      </c>
      <c r="E12" s="281" t="s">
        <v>69</v>
      </c>
      <c r="F12" s="283">
        <v>42326</v>
      </c>
      <c r="G12" s="283">
        <v>42373</v>
      </c>
      <c r="H12" s="283">
        <v>42425</v>
      </c>
      <c r="I12" s="284">
        <v>111868.36</v>
      </c>
      <c r="J12" s="284"/>
      <c r="K12" s="284"/>
      <c r="L12" s="284"/>
      <c r="M12" s="286"/>
      <c r="O12" s="261">
        <f t="shared" si="0"/>
        <v>0</v>
      </c>
    </row>
    <row r="13" spans="1:16">
      <c r="A13" s="280" t="s">
        <v>1553</v>
      </c>
      <c r="B13" s="287" t="s">
        <v>28</v>
      </c>
      <c r="C13" s="282" t="s">
        <v>1529</v>
      </c>
      <c r="D13" s="281" t="s">
        <v>33</v>
      </c>
      <c r="E13" s="281" t="s">
        <v>69</v>
      </c>
      <c r="F13" s="283">
        <v>42326</v>
      </c>
      <c r="G13" s="283">
        <v>42373</v>
      </c>
      <c r="H13" s="283">
        <v>42425</v>
      </c>
      <c r="I13" s="284">
        <v>120170.91</v>
      </c>
      <c r="J13" s="284"/>
      <c r="K13" s="284"/>
      <c r="L13" s="284"/>
      <c r="M13" s="286"/>
      <c r="O13" s="261">
        <f t="shared" si="0"/>
        <v>0</v>
      </c>
    </row>
    <row r="14" spans="1:16">
      <c r="A14" s="280" t="s">
        <v>1552</v>
      </c>
      <c r="B14" s="287" t="s">
        <v>93</v>
      </c>
      <c r="C14" s="282" t="s">
        <v>1529</v>
      </c>
      <c r="D14" s="281" t="s">
        <v>33</v>
      </c>
      <c r="E14" s="281" t="s">
        <v>69</v>
      </c>
      <c r="F14" s="283">
        <v>42326</v>
      </c>
      <c r="G14" s="283">
        <v>42373</v>
      </c>
      <c r="H14" s="283">
        <v>42425</v>
      </c>
      <c r="I14" s="284">
        <v>143500</v>
      </c>
      <c r="J14" s="284"/>
      <c r="K14" s="284"/>
      <c r="L14" s="284"/>
      <c r="M14" s="286"/>
      <c r="O14" s="261">
        <f t="shared" si="0"/>
        <v>0</v>
      </c>
    </row>
    <row r="15" spans="1:16">
      <c r="A15" s="280" t="s">
        <v>1530</v>
      </c>
      <c r="B15" s="287" t="s">
        <v>28</v>
      </c>
      <c r="C15" s="282" t="s">
        <v>1529</v>
      </c>
      <c r="D15" s="281" t="s">
        <v>33</v>
      </c>
      <c r="E15" s="281" t="s">
        <v>69</v>
      </c>
      <c r="F15" s="283">
        <v>42326</v>
      </c>
      <c r="G15" s="283">
        <v>42394</v>
      </c>
      <c r="H15" s="283">
        <v>42418</v>
      </c>
      <c r="I15" s="284">
        <v>107711.67999999999</v>
      </c>
      <c r="J15" s="284"/>
      <c r="K15" s="284"/>
      <c r="L15" s="284"/>
      <c r="M15" s="286"/>
      <c r="O15" s="261">
        <f t="shared" si="0"/>
        <v>0</v>
      </c>
    </row>
    <row r="16" spans="1:16">
      <c r="A16" s="280" t="s">
        <v>1530</v>
      </c>
      <c r="B16" s="287" t="s">
        <v>28</v>
      </c>
      <c r="C16" s="282" t="s">
        <v>1529</v>
      </c>
      <c r="D16" s="281" t="s">
        <v>33</v>
      </c>
      <c r="E16" s="281" t="s">
        <v>69</v>
      </c>
      <c r="F16" s="283">
        <v>42326</v>
      </c>
      <c r="G16" s="283">
        <v>42394</v>
      </c>
      <c r="H16" s="283">
        <v>42520</v>
      </c>
      <c r="I16" s="284">
        <v>1716.25</v>
      </c>
      <c r="J16" s="284">
        <v>484967.2</v>
      </c>
      <c r="K16" s="284">
        <v>310000</v>
      </c>
      <c r="L16" s="284">
        <v>174967.2</v>
      </c>
      <c r="M16" s="286"/>
      <c r="O16" s="261">
        <f t="shared" si="0"/>
        <v>0</v>
      </c>
    </row>
    <row r="17" spans="1:15">
      <c r="A17" s="280" t="s">
        <v>1515</v>
      </c>
      <c r="B17" s="287" t="s">
        <v>329</v>
      </c>
      <c r="C17" s="282" t="s">
        <v>1514</v>
      </c>
      <c r="D17" s="281" t="s">
        <v>33</v>
      </c>
      <c r="E17" s="281" t="s">
        <v>69</v>
      </c>
      <c r="F17" s="283">
        <v>42096</v>
      </c>
      <c r="G17" s="283">
        <v>42144</v>
      </c>
      <c r="H17" s="283">
        <v>42198</v>
      </c>
      <c r="I17" s="284">
        <v>340000</v>
      </c>
      <c r="J17" s="284">
        <v>340000</v>
      </c>
      <c r="K17" s="284">
        <v>310000</v>
      </c>
      <c r="L17" s="285">
        <v>30000</v>
      </c>
      <c r="M17" s="286"/>
      <c r="O17" s="261">
        <f t="shared" si="0"/>
        <v>0</v>
      </c>
    </row>
    <row r="18" spans="1:15">
      <c r="A18" s="280" t="s">
        <v>1513</v>
      </c>
      <c r="B18" s="287" t="s">
        <v>23</v>
      </c>
      <c r="C18" s="282" t="s">
        <v>1507</v>
      </c>
      <c r="D18" s="281" t="s">
        <v>33</v>
      </c>
      <c r="E18" s="281" t="s">
        <v>38</v>
      </c>
      <c r="F18" s="283">
        <v>42098</v>
      </c>
      <c r="G18" s="283">
        <v>42128</v>
      </c>
      <c r="H18" s="283">
        <v>42137</v>
      </c>
      <c r="I18" s="284">
        <v>23612.29</v>
      </c>
      <c r="J18" s="284"/>
      <c r="K18" s="284"/>
      <c r="L18" s="285"/>
      <c r="M18" s="286"/>
      <c r="O18" s="261">
        <f t="shared" si="0"/>
        <v>0</v>
      </c>
    </row>
    <row r="19" spans="1:15">
      <c r="A19" s="280" t="s">
        <v>1512</v>
      </c>
      <c r="B19" s="287" t="s">
        <v>28</v>
      </c>
      <c r="C19" s="282" t="s">
        <v>1507</v>
      </c>
      <c r="D19" s="281" t="s">
        <v>33</v>
      </c>
      <c r="E19" s="281" t="s">
        <v>38</v>
      </c>
      <c r="F19" s="283">
        <v>42098</v>
      </c>
      <c r="G19" s="283">
        <v>42128</v>
      </c>
      <c r="H19" s="283">
        <v>42137</v>
      </c>
      <c r="I19" s="284">
        <v>200000</v>
      </c>
      <c r="J19" s="284"/>
      <c r="K19" s="284"/>
      <c r="L19" s="285"/>
      <c r="M19" s="286"/>
      <c r="O19" s="261">
        <f t="shared" si="0"/>
        <v>0</v>
      </c>
    </row>
    <row r="20" spans="1:15">
      <c r="A20" s="280" t="s">
        <v>1511</v>
      </c>
      <c r="B20" s="287" t="s">
        <v>329</v>
      </c>
      <c r="C20" s="282" t="s">
        <v>1507</v>
      </c>
      <c r="D20" s="281" t="s">
        <v>33</v>
      </c>
      <c r="E20" s="281" t="s">
        <v>38</v>
      </c>
      <c r="F20" s="283">
        <v>42098</v>
      </c>
      <c r="G20" s="283">
        <v>42174</v>
      </c>
      <c r="H20" s="283">
        <v>42178</v>
      </c>
      <c r="I20" s="284">
        <v>73000</v>
      </c>
      <c r="J20" s="284"/>
      <c r="K20" s="284"/>
      <c r="L20" s="285"/>
      <c r="M20" s="286"/>
      <c r="O20" s="261">
        <f t="shared" si="0"/>
        <v>0</v>
      </c>
    </row>
    <row r="21" spans="1:15">
      <c r="A21" s="280" t="s">
        <v>1510</v>
      </c>
      <c r="B21" s="287" t="s">
        <v>329</v>
      </c>
      <c r="C21" s="282" t="s">
        <v>1507</v>
      </c>
      <c r="D21" s="281" t="s">
        <v>33</v>
      </c>
      <c r="E21" s="281" t="s">
        <v>38</v>
      </c>
      <c r="F21" s="283">
        <v>42098</v>
      </c>
      <c r="G21" s="283">
        <v>42198</v>
      </c>
      <c r="H21" s="283">
        <v>42201</v>
      </c>
      <c r="I21" s="284">
        <v>45000</v>
      </c>
      <c r="J21" s="284"/>
      <c r="K21" s="284"/>
      <c r="L21" s="285"/>
      <c r="M21" s="286"/>
      <c r="O21" s="261">
        <f t="shared" si="0"/>
        <v>0</v>
      </c>
    </row>
    <row r="22" spans="1:15">
      <c r="A22" s="280" t="s">
        <v>1509</v>
      </c>
      <c r="B22" s="287" t="s">
        <v>23</v>
      </c>
      <c r="C22" s="282" t="s">
        <v>1507</v>
      </c>
      <c r="D22" s="281" t="s">
        <v>33</v>
      </c>
      <c r="E22" s="281" t="s">
        <v>38</v>
      </c>
      <c r="F22" s="283">
        <v>42098</v>
      </c>
      <c r="G22" s="283">
        <v>42198</v>
      </c>
      <c r="H22" s="283">
        <v>42201</v>
      </c>
      <c r="I22" s="284">
        <v>12000</v>
      </c>
      <c r="J22" s="284"/>
      <c r="K22" s="284"/>
      <c r="L22" s="285"/>
      <c r="M22" s="286"/>
      <c r="O22" s="261">
        <f t="shared" si="0"/>
        <v>0</v>
      </c>
    </row>
    <row r="23" spans="1:15">
      <c r="A23" s="280" t="s">
        <v>1508</v>
      </c>
      <c r="B23" s="287" t="s">
        <v>329</v>
      </c>
      <c r="C23" s="282" t="s">
        <v>1507</v>
      </c>
      <c r="D23" s="281" t="s">
        <v>33</v>
      </c>
      <c r="E23" s="281" t="s">
        <v>38</v>
      </c>
      <c r="F23" s="283">
        <v>42098</v>
      </c>
      <c r="G23" s="283">
        <v>42230</v>
      </c>
      <c r="H23" s="283">
        <v>42241</v>
      </c>
      <c r="I23" s="284">
        <v>86000</v>
      </c>
      <c r="J23" s="284">
        <v>439612.29000000004</v>
      </c>
      <c r="K23" s="284">
        <v>310000</v>
      </c>
      <c r="L23" s="285">
        <v>129612.29000000004</v>
      </c>
      <c r="M23" s="286"/>
      <c r="O23" s="261">
        <f t="shared" si="0"/>
        <v>0</v>
      </c>
    </row>
    <row r="24" spans="1:15">
      <c r="A24" s="280" t="s">
        <v>1506</v>
      </c>
      <c r="B24" s="287" t="s">
        <v>23</v>
      </c>
      <c r="C24" s="282" t="s">
        <v>1503</v>
      </c>
      <c r="D24" s="281" t="s">
        <v>26</v>
      </c>
      <c r="E24" s="281" t="s">
        <v>25</v>
      </c>
      <c r="F24" s="283">
        <v>42084</v>
      </c>
      <c r="G24" s="283">
        <v>42170</v>
      </c>
      <c r="H24" s="283">
        <v>42179</v>
      </c>
      <c r="I24" s="284">
        <v>77008.28</v>
      </c>
      <c r="J24" s="284"/>
      <c r="K24" s="284"/>
      <c r="L24" s="285"/>
      <c r="M24" s="286"/>
      <c r="O24" s="261">
        <f t="shared" si="0"/>
        <v>0</v>
      </c>
    </row>
    <row r="25" spans="1:15">
      <c r="A25" s="280" t="s">
        <v>1505</v>
      </c>
      <c r="B25" s="281" t="s">
        <v>28</v>
      </c>
      <c r="C25" s="282" t="s">
        <v>1503</v>
      </c>
      <c r="D25" s="281" t="s">
        <v>26</v>
      </c>
      <c r="E25" s="281" t="s">
        <v>25</v>
      </c>
      <c r="F25" s="283">
        <v>42084</v>
      </c>
      <c r="G25" s="283">
        <v>42170</v>
      </c>
      <c r="H25" s="283">
        <v>42179</v>
      </c>
      <c r="I25" s="284">
        <v>252058.65</v>
      </c>
      <c r="J25" s="284"/>
      <c r="K25" s="284"/>
      <c r="L25" s="285"/>
      <c r="M25" s="286"/>
      <c r="O25" s="261">
        <f t="shared" si="0"/>
        <v>0</v>
      </c>
    </row>
    <row r="26" spans="1:15">
      <c r="A26" s="280" t="s">
        <v>1504</v>
      </c>
      <c r="B26" s="281" t="s">
        <v>50</v>
      </c>
      <c r="C26" s="282" t="s">
        <v>1503</v>
      </c>
      <c r="D26" s="281" t="s">
        <v>26</v>
      </c>
      <c r="E26" s="281" t="s">
        <v>25</v>
      </c>
      <c r="F26" s="283">
        <v>42084</v>
      </c>
      <c r="G26" s="283">
        <v>42170</v>
      </c>
      <c r="H26" s="283">
        <v>42179</v>
      </c>
      <c r="I26" s="284">
        <v>7000</v>
      </c>
      <c r="J26" s="284">
        <v>336066.93</v>
      </c>
      <c r="K26" s="284">
        <v>310000</v>
      </c>
      <c r="L26" s="285">
        <v>26066.929999999993</v>
      </c>
      <c r="M26" s="286"/>
      <c r="O26" s="261">
        <f t="shared" si="0"/>
        <v>0</v>
      </c>
    </row>
    <row r="27" spans="1:15">
      <c r="A27" s="280" t="s">
        <v>1551</v>
      </c>
      <c r="B27" s="287" t="s">
        <v>23</v>
      </c>
      <c r="C27" s="282" t="s">
        <v>1548</v>
      </c>
      <c r="D27" s="281" t="s">
        <v>33</v>
      </c>
      <c r="E27" s="281" t="s">
        <v>38</v>
      </c>
      <c r="F27" s="283">
        <v>42322</v>
      </c>
      <c r="G27" s="283">
        <v>42390</v>
      </c>
      <c r="H27" s="283">
        <v>42424</v>
      </c>
      <c r="I27" s="284">
        <v>81216.08</v>
      </c>
      <c r="J27" s="284"/>
      <c r="K27" s="284"/>
      <c r="L27" s="284"/>
      <c r="M27" s="286"/>
      <c r="O27" s="261">
        <f t="shared" si="0"/>
        <v>0</v>
      </c>
    </row>
    <row r="28" spans="1:15">
      <c r="A28" s="280" t="s">
        <v>1550</v>
      </c>
      <c r="B28" s="287" t="s">
        <v>174</v>
      </c>
      <c r="C28" s="282" t="s">
        <v>1548</v>
      </c>
      <c r="D28" s="281" t="s">
        <v>33</v>
      </c>
      <c r="E28" s="281" t="s">
        <v>38</v>
      </c>
      <c r="F28" s="283">
        <v>42322</v>
      </c>
      <c r="G28" s="283">
        <v>42390</v>
      </c>
      <c r="H28" s="283">
        <v>42424</v>
      </c>
      <c r="I28" s="284">
        <v>541000</v>
      </c>
      <c r="J28" s="284"/>
      <c r="K28" s="284"/>
      <c r="L28" s="284"/>
      <c r="M28" s="286"/>
      <c r="O28" s="261">
        <f t="shared" si="0"/>
        <v>0</v>
      </c>
    </row>
    <row r="29" spans="1:15">
      <c r="A29" s="280" t="s">
        <v>1549</v>
      </c>
      <c r="B29" s="287" t="s">
        <v>23</v>
      </c>
      <c r="C29" s="282" t="s">
        <v>1548</v>
      </c>
      <c r="D29" s="281" t="s">
        <v>33</v>
      </c>
      <c r="E29" s="281" t="s">
        <v>38</v>
      </c>
      <c r="F29" s="283">
        <v>42322</v>
      </c>
      <c r="G29" s="283">
        <v>42405</v>
      </c>
      <c r="H29" s="283">
        <v>42423</v>
      </c>
      <c r="I29" s="284">
        <v>5100</v>
      </c>
      <c r="J29" s="284">
        <v>627316.07999999996</v>
      </c>
      <c r="K29" s="284">
        <v>310000</v>
      </c>
      <c r="L29" s="284">
        <v>317316.07999999996</v>
      </c>
      <c r="M29" s="286"/>
      <c r="O29" s="261">
        <f t="shared" si="0"/>
        <v>0</v>
      </c>
    </row>
    <row r="30" spans="1:15">
      <c r="A30" s="280" t="s">
        <v>1502</v>
      </c>
      <c r="B30" s="287" t="s">
        <v>23</v>
      </c>
      <c r="C30" s="282" t="s">
        <v>1500</v>
      </c>
      <c r="D30" s="281" t="s">
        <v>33</v>
      </c>
      <c r="E30" s="281" t="s">
        <v>38</v>
      </c>
      <c r="F30" s="283">
        <v>42135</v>
      </c>
      <c r="G30" s="283">
        <v>42200</v>
      </c>
      <c r="H30" s="283">
        <v>42207</v>
      </c>
      <c r="I30" s="284">
        <v>272119.96000000002</v>
      </c>
      <c r="J30" s="284"/>
      <c r="K30" s="284"/>
      <c r="L30" s="285"/>
      <c r="M30" s="286"/>
      <c r="O30" s="261">
        <f t="shared" si="0"/>
        <v>0</v>
      </c>
    </row>
    <row r="31" spans="1:15">
      <c r="A31" s="280" t="s">
        <v>1501</v>
      </c>
      <c r="B31" s="281" t="s">
        <v>28</v>
      </c>
      <c r="C31" s="282" t="s">
        <v>1500</v>
      </c>
      <c r="D31" s="281" t="s">
        <v>33</v>
      </c>
      <c r="E31" s="281" t="s">
        <v>38</v>
      </c>
      <c r="F31" s="283">
        <v>42135</v>
      </c>
      <c r="G31" s="283">
        <v>42200</v>
      </c>
      <c r="H31" s="283">
        <v>42207</v>
      </c>
      <c r="I31" s="284">
        <v>599211.46</v>
      </c>
      <c r="J31" s="284">
        <v>871331.41999999993</v>
      </c>
      <c r="K31" s="284">
        <v>310000</v>
      </c>
      <c r="L31" s="285">
        <v>561331.41999999993</v>
      </c>
      <c r="M31" s="286"/>
      <c r="O31" s="261">
        <f t="shared" si="0"/>
        <v>149627.41999999993</v>
      </c>
    </row>
    <row r="32" spans="1:15">
      <c r="A32" s="280" t="s">
        <v>1499</v>
      </c>
      <c r="B32" s="287" t="s">
        <v>23</v>
      </c>
      <c r="C32" s="282" t="s">
        <v>1495</v>
      </c>
      <c r="D32" s="281" t="s">
        <v>33</v>
      </c>
      <c r="E32" s="281" t="s">
        <v>209</v>
      </c>
      <c r="F32" s="283">
        <v>42059</v>
      </c>
      <c r="G32" s="283">
        <v>42145</v>
      </c>
      <c r="H32" s="283">
        <v>42170</v>
      </c>
      <c r="I32" s="284">
        <v>176472.33</v>
      </c>
      <c r="J32" s="284"/>
      <c r="K32" s="284"/>
      <c r="L32" s="285"/>
      <c r="M32" s="286"/>
      <c r="O32" s="261">
        <f t="shared" si="0"/>
        <v>0</v>
      </c>
    </row>
    <row r="33" spans="1:15">
      <c r="A33" s="280" t="s">
        <v>1498</v>
      </c>
      <c r="B33" s="281" t="s">
        <v>28</v>
      </c>
      <c r="C33" s="282" t="s">
        <v>1495</v>
      </c>
      <c r="D33" s="281" t="s">
        <v>33</v>
      </c>
      <c r="E33" s="281" t="s">
        <v>209</v>
      </c>
      <c r="F33" s="283">
        <v>42059</v>
      </c>
      <c r="G33" s="283">
        <v>42145</v>
      </c>
      <c r="H33" s="283">
        <v>42170</v>
      </c>
      <c r="I33" s="284">
        <v>100000</v>
      </c>
      <c r="J33" s="284"/>
      <c r="K33" s="284"/>
      <c r="L33" s="285"/>
      <c r="M33" s="286"/>
      <c r="O33" s="261">
        <f t="shared" si="0"/>
        <v>0</v>
      </c>
    </row>
    <row r="34" spans="1:15">
      <c r="A34" s="280" t="s">
        <v>1497</v>
      </c>
      <c r="B34" s="281" t="s">
        <v>50</v>
      </c>
      <c r="C34" s="282" t="s">
        <v>1495</v>
      </c>
      <c r="D34" s="281" t="s">
        <v>33</v>
      </c>
      <c r="E34" s="281" t="s">
        <v>209</v>
      </c>
      <c r="F34" s="283">
        <v>42059</v>
      </c>
      <c r="G34" s="283">
        <v>42145</v>
      </c>
      <c r="H34" s="283">
        <v>42174</v>
      </c>
      <c r="I34" s="284">
        <v>15000</v>
      </c>
      <c r="J34" s="284"/>
      <c r="K34" s="284"/>
      <c r="L34" s="285"/>
      <c r="M34" s="286"/>
      <c r="O34" s="261">
        <f t="shared" si="0"/>
        <v>0</v>
      </c>
    </row>
    <row r="35" spans="1:15">
      <c r="A35" s="282" t="s">
        <v>1496</v>
      </c>
      <c r="B35" s="281" t="s">
        <v>36</v>
      </c>
      <c r="C35" s="282" t="s">
        <v>1495</v>
      </c>
      <c r="D35" s="281" t="s">
        <v>33</v>
      </c>
      <c r="E35" s="281" t="s">
        <v>209</v>
      </c>
      <c r="F35" s="288">
        <v>42059</v>
      </c>
      <c r="G35" s="288">
        <v>42339</v>
      </c>
      <c r="H35" s="288">
        <v>42347</v>
      </c>
      <c r="I35" s="289">
        <v>1200000</v>
      </c>
      <c r="J35" s="289">
        <v>1491472.33</v>
      </c>
      <c r="K35" s="284">
        <v>310000</v>
      </c>
      <c r="L35" s="285">
        <v>1181472.33</v>
      </c>
      <c r="M35" s="286"/>
      <c r="O35" s="261">
        <f t="shared" si="0"/>
        <v>769768.33000000007</v>
      </c>
    </row>
    <row r="36" spans="1:15">
      <c r="A36" s="280" t="s">
        <v>1547</v>
      </c>
      <c r="B36" s="287" t="s">
        <v>23</v>
      </c>
      <c r="C36" s="282" t="s">
        <v>1545</v>
      </c>
      <c r="D36" s="281" t="s">
        <v>33</v>
      </c>
      <c r="E36" s="281" t="s">
        <v>290</v>
      </c>
      <c r="F36" s="283">
        <v>42254</v>
      </c>
      <c r="G36" s="283">
        <v>42349</v>
      </c>
      <c r="H36" s="283">
        <v>42397</v>
      </c>
      <c r="I36" s="284">
        <v>284664.74</v>
      </c>
      <c r="J36" s="284"/>
      <c r="K36" s="284"/>
      <c r="L36" s="284"/>
      <c r="M36" s="286"/>
      <c r="O36" s="261">
        <f t="shared" si="0"/>
        <v>0</v>
      </c>
    </row>
    <row r="37" spans="1:15">
      <c r="A37" s="280" t="s">
        <v>1546</v>
      </c>
      <c r="B37" s="287" t="s">
        <v>28</v>
      </c>
      <c r="C37" s="282" t="s">
        <v>1545</v>
      </c>
      <c r="D37" s="281" t="s">
        <v>33</v>
      </c>
      <c r="E37" s="281" t="s">
        <v>290</v>
      </c>
      <c r="F37" s="283">
        <v>42254</v>
      </c>
      <c r="G37" s="283">
        <v>42349</v>
      </c>
      <c r="H37" s="283">
        <v>42397</v>
      </c>
      <c r="I37" s="284">
        <v>100000</v>
      </c>
      <c r="J37" s="284">
        <v>384664.74</v>
      </c>
      <c r="K37" s="284">
        <v>310000</v>
      </c>
      <c r="L37" s="284">
        <v>74664.739999999991</v>
      </c>
      <c r="M37" s="286"/>
      <c r="O37" s="261">
        <f t="shared" si="0"/>
        <v>0</v>
      </c>
    </row>
    <row r="38" spans="1:15">
      <c r="A38" s="280" t="s">
        <v>1494</v>
      </c>
      <c r="B38" s="287" t="s">
        <v>30</v>
      </c>
      <c r="C38" s="282" t="s">
        <v>1491</v>
      </c>
      <c r="D38" s="281" t="s">
        <v>33</v>
      </c>
      <c r="E38" s="281" t="s">
        <v>1490</v>
      </c>
      <c r="F38" s="283">
        <v>42302</v>
      </c>
      <c r="G38" s="283">
        <v>42339</v>
      </c>
      <c r="H38" s="283">
        <v>42355</v>
      </c>
      <c r="I38" s="284">
        <v>103000</v>
      </c>
      <c r="J38" s="284"/>
      <c r="K38" s="284"/>
      <c r="L38" s="285"/>
      <c r="M38" s="286"/>
      <c r="O38" s="261">
        <f t="shared" si="0"/>
        <v>0</v>
      </c>
    </row>
    <row r="39" spans="1:15">
      <c r="A39" s="280" t="s">
        <v>1493</v>
      </c>
      <c r="B39" s="281" t="s">
        <v>28</v>
      </c>
      <c r="C39" s="282" t="s">
        <v>1491</v>
      </c>
      <c r="D39" s="281" t="s">
        <v>33</v>
      </c>
      <c r="E39" s="281" t="s">
        <v>1490</v>
      </c>
      <c r="F39" s="283">
        <v>42302</v>
      </c>
      <c r="G39" s="283">
        <v>42339</v>
      </c>
      <c r="H39" s="283">
        <v>42355</v>
      </c>
      <c r="I39" s="284">
        <v>408000</v>
      </c>
      <c r="J39" s="284"/>
      <c r="K39" s="284"/>
      <c r="L39" s="285"/>
      <c r="M39" s="286"/>
      <c r="O39" s="261">
        <f t="shared" si="0"/>
        <v>0</v>
      </c>
    </row>
    <row r="40" spans="1:15">
      <c r="A40" s="280" t="s">
        <v>1492</v>
      </c>
      <c r="B40" s="287" t="s">
        <v>50</v>
      </c>
      <c r="C40" s="282" t="s">
        <v>1491</v>
      </c>
      <c r="D40" s="281" t="s">
        <v>33</v>
      </c>
      <c r="E40" s="281" t="s">
        <v>1490</v>
      </c>
      <c r="F40" s="283">
        <v>42302</v>
      </c>
      <c r="G40" s="283">
        <v>42339</v>
      </c>
      <c r="H40" s="283">
        <v>42355</v>
      </c>
      <c r="I40" s="284">
        <v>50000</v>
      </c>
      <c r="J40" s="284">
        <v>561000</v>
      </c>
      <c r="K40" s="284">
        <v>310000</v>
      </c>
      <c r="L40" s="285">
        <v>251000</v>
      </c>
      <c r="M40" s="286"/>
      <c r="O40" s="261">
        <f t="shared" si="0"/>
        <v>0</v>
      </c>
    </row>
    <row r="41" spans="1:15">
      <c r="A41" s="280" t="s">
        <v>1489</v>
      </c>
      <c r="B41" s="281" t="s">
        <v>30</v>
      </c>
      <c r="C41" s="282" t="s">
        <v>1486</v>
      </c>
      <c r="D41" s="281" t="s">
        <v>33</v>
      </c>
      <c r="E41" s="281" t="s">
        <v>1485</v>
      </c>
      <c r="F41" s="283">
        <v>42087</v>
      </c>
      <c r="G41" s="283">
        <v>42111</v>
      </c>
      <c r="H41" s="283">
        <v>42143</v>
      </c>
      <c r="I41" s="284">
        <v>55000</v>
      </c>
      <c r="J41" s="284"/>
      <c r="K41" s="284"/>
      <c r="L41" s="285"/>
      <c r="M41" s="286"/>
      <c r="O41" s="261">
        <f t="shared" si="0"/>
        <v>0</v>
      </c>
    </row>
    <row r="42" spans="1:15">
      <c r="A42" s="280" t="s">
        <v>1488</v>
      </c>
      <c r="B42" s="281" t="s">
        <v>28</v>
      </c>
      <c r="C42" s="282" t="s">
        <v>1486</v>
      </c>
      <c r="D42" s="281" t="s">
        <v>33</v>
      </c>
      <c r="E42" s="281" t="s">
        <v>1485</v>
      </c>
      <c r="F42" s="283">
        <v>42087</v>
      </c>
      <c r="G42" s="283">
        <v>42111</v>
      </c>
      <c r="H42" s="283">
        <v>42143</v>
      </c>
      <c r="I42" s="284">
        <v>119315.51</v>
      </c>
      <c r="J42" s="284"/>
      <c r="K42" s="284"/>
      <c r="L42" s="285"/>
      <c r="M42" s="286"/>
      <c r="O42" s="261">
        <f t="shared" si="0"/>
        <v>0</v>
      </c>
    </row>
    <row r="43" spans="1:15">
      <c r="A43" s="282" t="s">
        <v>1487</v>
      </c>
      <c r="B43" s="281" t="s">
        <v>93</v>
      </c>
      <c r="C43" s="282" t="s">
        <v>1486</v>
      </c>
      <c r="D43" s="281" t="s">
        <v>33</v>
      </c>
      <c r="E43" s="281" t="s">
        <v>1485</v>
      </c>
      <c r="F43" s="288">
        <v>42087</v>
      </c>
      <c r="G43" s="288">
        <v>42111</v>
      </c>
      <c r="H43" s="288">
        <v>42143</v>
      </c>
      <c r="I43" s="289">
        <v>143500</v>
      </c>
      <c r="J43" s="289">
        <v>317815.51</v>
      </c>
      <c r="K43" s="284">
        <v>310000</v>
      </c>
      <c r="L43" s="285">
        <v>7815.5100000000093</v>
      </c>
      <c r="M43" s="286"/>
      <c r="O43" s="261">
        <f t="shared" si="0"/>
        <v>0</v>
      </c>
    </row>
    <row r="44" spans="1:15">
      <c r="A44" s="282" t="s">
        <v>1484</v>
      </c>
      <c r="B44" s="287" t="s">
        <v>23</v>
      </c>
      <c r="C44" s="282" t="s">
        <v>1482</v>
      </c>
      <c r="D44" s="281" t="s">
        <v>33</v>
      </c>
      <c r="E44" s="281" t="s">
        <v>209</v>
      </c>
      <c r="F44" s="288">
        <v>42314</v>
      </c>
      <c r="G44" s="288">
        <v>42331</v>
      </c>
      <c r="H44" s="288">
        <v>42356</v>
      </c>
      <c r="I44" s="289">
        <v>103000</v>
      </c>
      <c r="J44" s="289"/>
      <c r="K44" s="284"/>
      <c r="L44" s="285"/>
      <c r="M44" s="286"/>
      <c r="O44" s="261">
        <f t="shared" si="0"/>
        <v>0</v>
      </c>
    </row>
    <row r="45" spans="1:15">
      <c r="A45" s="280" t="s">
        <v>1483</v>
      </c>
      <c r="B45" s="281" t="s">
        <v>28</v>
      </c>
      <c r="C45" s="282" t="s">
        <v>1482</v>
      </c>
      <c r="D45" s="281" t="s">
        <v>33</v>
      </c>
      <c r="E45" s="281" t="s">
        <v>209</v>
      </c>
      <c r="F45" s="283">
        <v>42314</v>
      </c>
      <c r="G45" s="283">
        <v>42331</v>
      </c>
      <c r="H45" s="283">
        <v>42356</v>
      </c>
      <c r="I45" s="284">
        <v>500000</v>
      </c>
      <c r="J45" s="284">
        <v>603000</v>
      </c>
      <c r="K45" s="284">
        <v>310000</v>
      </c>
      <c r="L45" s="285">
        <v>293000</v>
      </c>
      <c r="M45" s="286"/>
      <c r="O45" s="261">
        <f t="shared" si="0"/>
        <v>0</v>
      </c>
    </row>
    <row r="46" spans="1:15">
      <c r="A46" s="282" t="s">
        <v>1481</v>
      </c>
      <c r="B46" s="287" t="s">
        <v>23</v>
      </c>
      <c r="C46" s="282" t="s">
        <v>1479</v>
      </c>
      <c r="D46" s="281" t="s">
        <v>33</v>
      </c>
      <c r="E46" s="281" t="s">
        <v>38</v>
      </c>
      <c r="F46" s="288">
        <v>42256</v>
      </c>
      <c r="G46" s="288">
        <v>42314</v>
      </c>
      <c r="H46" s="288">
        <v>42334</v>
      </c>
      <c r="I46" s="289">
        <v>41866.379999999997</v>
      </c>
      <c r="J46" s="289"/>
      <c r="K46" s="284"/>
      <c r="L46" s="285"/>
      <c r="M46" s="286"/>
      <c r="O46" s="261">
        <f t="shared" si="0"/>
        <v>0</v>
      </c>
    </row>
    <row r="47" spans="1:15">
      <c r="A47" s="280" t="s">
        <v>1480</v>
      </c>
      <c r="B47" s="281" t="s">
        <v>28</v>
      </c>
      <c r="C47" s="282" t="s">
        <v>1479</v>
      </c>
      <c r="D47" s="281" t="s">
        <v>33</v>
      </c>
      <c r="E47" s="281" t="s">
        <v>38</v>
      </c>
      <c r="F47" s="283">
        <v>42256</v>
      </c>
      <c r="G47" s="283">
        <v>42314</v>
      </c>
      <c r="H47" s="283">
        <v>42334</v>
      </c>
      <c r="I47" s="284">
        <v>310000</v>
      </c>
      <c r="J47" s="284">
        <v>351866.38</v>
      </c>
      <c r="K47" s="284">
        <v>310000</v>
      </c>
      <c r="L47" s="285">
        <v>41866.380000000005</v>
      </c>
      <c r="M47" s="286"/>
      <c r="O47" s="261">
        <f t="shared" si="0"/>
        <v>0</v>
      </c>
    </row>
    <row r="48" spans="1:15">
      <c r="A48" s="280" t="s">
        <v>1478</v>
      </c>
      <c r="B48" s="281" t="s">
        <v>23</v>
      </c>
      <c r="C48" s="282" t="s">
        <v>1476</v>
      </c>
      <c r="D48" s="281" t="s">
        <v>33</v>
      </c>
      <c r="E48" s="281" t="s">
        <v>84</v>
      </c>
      <c r="F48" s="283">
        <v>42027</v>
      </c>
      <c r="G48" s="283">
        <v>42055</v>
      </c>
      <c r="H48" s="283">
        <v>42060</v>
      </c>
      <c r="I48" s="284">
        <v>115000</v>
      </c>
      <c r="J48" s="284"/>
      <c r="K48" s="284"/>
      <c r="L48" s="285"/>
      <c r="M48" s="286"/>
      <c r="O48" s="261">
        <f t="shared" si="0"/>
        <v>0</v>
      </c>
    </row>
    <row r="49" spans="1:15">
      <c r="A49" s="280" t="s">
        <v>1477</v>
      </c>
      <c r="B49" s="281" t="s">
        <v>28</v>
      </c>
      <c r="C49" s="282" t="s">
        <v>1476</v>
      </c>
      <c r="D49" s="281" t="s">
        <v>33</v>
      </c>
      <c r="E49" s="281" t="s">
        <v>84</v>
      </c>
      <c r="F49" s="283">
        <v>42027</v>
      </c>
      <c r="G49" s="283">
        <v>42055</v>
      </c>
      <c r="H49" s="283">
        <v>42060</v>
      </c>
      <c r="I49" s="284">
        <v>710000</v>
      </c>
      <c r="J49" s="284"/>
      <c r="K49" s="284"/>
      <c r="L49" s="285"/>
      <c r="M49" s="286"/>
      <c r="O49" s="261">
        <f t="shared" si="0"/>
        <v>0</v>
      </c>
    </row>
    <row r="50" spans="1:15">
      <c r="A50" s="280" t="s">
        <v>1477</v>
      </c>
      <c r="B50" s="281" t="s">
        <v>28</v>
      </c>
      <c r="C50" s="282" t="s">
        <v>1476</v>
      </c>
      <c r="D50" s="281" t="s">
        <v>33</v>
      </c>
      <c r="E50" s="281" t="s">
        <v>84</v>
      </c>
      <c r="F50" s="283">
        <v>42027</v>
      </c>
      <c r="G50" s="283">
        <v>42055</v>
      </c>
      <c r="H50" s="283">
        <v>42060</v>
      </c>
      <c r="I50" s="289">
        <v>27000</v>
      </c>
      <c r="J50" s="289">
        <v>852000</v>
      </c>
      <c r="K50" s="284">
        <v>310000</v>
      </c>
      <c r="L50" s="285">
        <v>542000</v>
      </c>
      <c r="M50" s="286"/>
      <c r="O50" s="261">
        <f t="shared" si="0"/>
        <v>130296</v>
      </c>
    </row>
    <row r="51" spans="1:15">
      <c r="A51" s="280" t="s">
        <v>1475</v>
      </c>
      <c r="B51" s="281" t="s">
        <v>28</v>
      </c>
      <c r="C51" s="282" t="s">
        <v>1473</v>
      </c>
      <c r="D51" s="281" t="s">
        <v>33</v>
      </c>
      <c r="E51" s="281" t="s">
        <v>165</v>
      </c>
      <c r="F51" s="283">
        <v>42154</v>
      </c>
      <c r="G51" s="283">
        <v>42234</v>
      </c>
      <c r="H51" s="283">
        <v>42305</v>
      </c>
      <c r="I51" s="284">
        <v>1351307.6400000001</v>
      </c>
      <c r="J51" s="284"/>
      <c r="K51" s="284"/>
      <c r="L51" s="285"/>
      <c r="M51" s="286"/>
      <c r="O51" s="261">
        <f t="shared" si="0"/>
        <v>0</v>
      </c>
    </row>
    <row r="52" spans="1:15">
      <c r="A52" s="280" t="s">
        <v>1474</v>
      </c>
      <c r="B52" s="281" t="s">
        <v>93</v>
      </c>
      <c r="C52" s="282" t="s">
        <v>1473</v>
      </c>
      <c r="D52" s="281" t="s">
        <v>33</v>
      </c>
      <c r="E52" s="281" t="s">
        <v>165</v>
      </c>
      <c r="F52" s="283">
        <v>42154</v>
      </c>
      <c r="G52" s="283">
        <v>42234</v>
      </c>
      <c r="H52" s="283">
        <v>42305</v>
      </c>
      <c r="I52" s="284">
        <v>154000</v>
      </c>
      <c r="J52" s="284">
        <v>1505307.6400000001</v>
      </c>
      <c r="K52" s="284">
        <v>310000</v>
      </c>
      <c r="L52" s="285">
        <v>1195307.6400000001</v>
      </c>
      <c r="M52" s="286"/>
      <c r="O52" s="261">
        <f t="shared" si="0"/>
        <v>783603.64000000013</v>
      </c>
    </row>
    <row r="53" spans="1:15">
      <c r="A53" s="280" t="s">
        <v>1544</v>
      </c>
      <c r="B53" s="287" t="s">
        <v>28</v>
      </c>
      <c r="C53" s="282" t="s">
        <v>1542</v>
      </c>
      <c r="D53" s="281" t="s">
        <v>33</v>
      </c>
      <c r="E53" s="281" t="s">
        <v>1541</v>
      </c>
      <c r="F53" s="283">
        <v>42327</v>
      </c>
      <c r="G53" s="283">
        <v>42391</v>
      </c>
      <c r="H53" s="283">
        <v>42408</v>
      </c>
      <c r="I53" s="284">
        <v>1041700.68</v>
      </c>
      <c r="J53" s="284"/>
      <c r="K53" s="284"/>
      <c r="L53" s="284"/>
      <c r="M53" s="286"/>
      <c r="O53" s="261">
        <f t="shared" si="0"/>
        <v>0</v>
      </c>
    </row>
    <row r="54" spans="1:15">
      <c r="A54" s="280" t="s">
        <v>1543</v>
      </c>
      <c r="B54" s="287" t="s">
        <v>23</v>
      </c>
      <c r="C54" s="282" t="s">
        <v>1542</v>
      </c>
      <c r="D54" s="281" t="s">
        <v>33</v>
      </c>
      <c r="E54" s="281" t="s">
        <v>1541</v>
      </c>
      <c r="F54" s="283">
        <v>42327</v>
      </c>
      <c r="G54" s="283">
        <v>42391</v>
      </c>
      <c r="H54" s="283">
        <v>42408</v>
      </c>
      <c r="I54" s="284">
        <v>250949.29</v>
      </c>
      <c r="J54" s="284">
        <v>1292649.97</v>
      </c>
      <c r="K54" s="284">
        <v>310000</v>
      </c>
      <c r="L54" s="284">
        <v>982649.97</v>
      </c>
      <c r="M54" s="286"/>
      <c r="O54" s="261">
        <f t="shared" si="0"/>
        <v>570945.97</v>
      </c>
    </row>
    <row r="55" spans="1:15">
      <c r="A55" s="280" t="s">
        <v>2062</v>
      </c>
      <c r="B55" s="287" t="s">
        <v>174</v>
      </c>
      <c r="C55" s="282" t="s">
        <v>2066</v>
      </c>
      <c r="D55" s="281" t="s">
        <v>2067</v>
      </c>
      <c r="E55" s="281" t="s">
        <v>2069</v>
      </c>
      <c r="F55" s="283">
        <v>42328</v>
      </c>
      <c r="G55" s="283">
        <v>43537</v>
      </c>
      <c r="H55" s="283">
        <v>43668</v>
      </c>
      <c r="I55" s="284">
        <v>156000</v>
      </c>
      <c r="J55" s="284"/>
      <c r="K55" s="284"/>
      <c r="L55" s="285"/>
      <c r="M55" s="286"/>
      <c r="O55" s="261">
        <f t="shared" si="0"/>
        <v>0</v>
      </c>
    </row>
    <row r="56" spans="1:15">
      <c r="A56" s="290" t="s">
        <v>2063</v>
      </c>
      <c r="B56" s="287" t="s">
        <v>36</v>
      </c>
      <c r="C56" s="282" t="s">
        <v>2066</v>
      </c>
      <c r="D56" s="281" t="s">
        <v>2068</v>
      </c>
      <c r="E56" s="281" t="s">
        <v>2069</v>
      </c>
      <c r="F56" s="288">
        <v>42328</v>
      </c>
      <c r="G56" s="288">
        <v>43537</v>
      </c>
      <c r="H56" s="288">
        <v>43668</v>
      </c>
      <c r="I56" s="289">
        <v>870000</v>
      </c>
      <c r="J56" s="289">
        <v>1026000</v>
      </c>
      <c r="K56" s="284">
        <v>310000</v>
      </c>
      <c r="L56" s="285">
        <v>716000</v>
      </c>
      <c r="M56" s="291"/>
      <c r="O56" s="261">
        <f t="shared" si="0"/>
        <v>304296</v>
      </c>
    </row>
    <row r="57" spans="1:15">
      <c r="A57" s="282" t="s">
        <v>1472</v>
      </c>
      <c r="B57" s="287" t="s">
        <v>28</v>
      </c>
      <c r="C57" s="282" t="s">
        <v>1471</v>
      </c>
      <c r="D57" s="282" t="s">
        <v>33</v>
      </c>
      <c r="E57" s="282" t="s">
        <v>84</v>
      </c>
      <c r="F57" s="288">
        <v>42119</v>
      </c>
      <c r="G57" s="288">
        <v>42179</v>
      </c>
      <c r="H57" s="288">
        <v>42192</v>
      </c>
      <c r="I57" s="289">
        <v>336327.4</v>
      </c>
      <c r="J57" s="289">
        <v>336327.4</v>
      </c>
      <c r="K57" s="284">
        <v>310000</v>
      </c>
      <c r="L57" s="285">
        <v>26327.400000000023</v>
      </c>
      <c r="M57" s="291"/>
      <c r="O57" s="261">
        <f t="shared" si="0"/>
        <v>0</v>
      </c>
    </row>
    <row r="58" spans="1:15">
      <c r="A58" s="280" t="s">
        <v>2064</v>
      </c>
      <c r="B58" s="287" t="s">
        <v>50</v>
      </c>
      <c r="C58" s="282" t="s">
        <v>1467</v>
      </c>
      <c r="D58" s="281" t="s">
        <v>26</v>
      </c>
      <c r="E58" s="281" t="s">
        <v>1466</v>
      </c>
      <c r="F58" s="283">
        <v>42227</v>
      </c>
      <c r="G58" s="283">
        <v>42261</v>
      </c>
      <c r="H58" s="283">
        <v>42270</v>
      </c>
      <c r="I58" s="284">
        <v>15000</v>
      </c>
      <c r="J58" s="284"/>
      <c r="K58" s="284"/>
      <c r="L58" s="285"/>
      <c r="M58" s="286"/>
      <c r="O58" s="261">
        <f t="shared" si="0"/>
        <v>0</v>
      </c>
    </row>
    <row r="59" spans="1:15">
      <c r="A59" s="280" t="s">
        <v>1470</v>
      </c>
      <c r="B59" s="281" t="s">
        <v>93</v>
      </c>
      <c r="C59" s="282" t="s">
        <v>1467</v>
      </c>
      <c r="D59" s="281" t="s">
        <v>26</v>
      </c>
      <c r="E59" s="281" t="s">
        <v>1466</v>
      </c>
      <c r="F59" s="283">
        <v>42227</v>
      </c>
      <c r="G59" s="283">
        <v>42278</v>
      </c>
      <c r="H59" s="283">
        <v>42334</v>
      </c>
      <c r="I59" s="284">
        <v>143500</v>
      </c>
      <c r="J59" s="284"/>
      <c r="K59" s="284"/>
      <c r="L59" s="285"/>
      <c r="M59" s="286"/>
      <c r="O59" s="261">
        <f t="shared" si="0"/>
        <v>0</v>
      </c>
    </row>
    <row r="60" spans="1:15">
      <c r="A60" s="280" t="s">
        <v>1469</v>
      </c>
      <c r="B60" s="287" t="s">
        <v>23</v>
      </c>
      <c r="C60" s="282" t="s">
        <v>1467</v>
      </c>
      <c r="D60" s="281" t="s">
        <v>26</v>
      </c>
      <c r="E60" s="281" t="s">
        <v>1466</v>
      </c>
      <c r="F60" s="283">
        <v>42227</v>
      </c>
      <c r="G60" s="283">
        <v>42304</v>
      </c>
      <c r="H60" s="283">
        <v>42334</v>
      </c>
      <c r="I60" s="284">
        <v>103499.16</v>
      </c>
      <c r="J60" s="284"/>
      <c r="K60" s="284"/>
      <c r="L60" s="285"/>
      <c r="M60" s="286"/>
      <c r="O60" s="261">
        <f t="shared" si="0"/>
        <v>0</v>
      </c>
    </row>
    <row r="61" spans="1:15">
      <c r="A61" s="280" t="s">
        <v>1468</v>
      </c>
      <c r="B61" s="281" t="s">
        <v>28</v>
      </c>
      <c r="C61" s="282" t="s">
        <v>1467</v>
      </c>
      <c r="D61" s="281" t="s">
        <v>26</v>
      </c>
      <c r="E61" s="281" t="s">
        <v>1466</v>
      </c>
      <c r="F61" s="283">
        <v>42227</v>
      </c>
      <c r="G61" s="283">
        <v>42304</v>
      </c>
      <c r="H61" s="283">
        <v>42334</v>
      </c>
      <c r="I61" s="284">
        <v>71248.66</v>
      </c>
      <c r="J61" s="284">
        <v>333247.82</v>
      </c>
      <c r="K61" s="284">
        <v>310000</v>
      </c>
      <c r="L61" s="285">
        <v>23247.820000000007</v>
      </c>
      <c r="M61" s="286"/>
      <c r="O61" s="261">
        <f t="shared" si="0"/>
        <v>0</v>
      </c>
    </row>
    <row r="62" spans="1:15">
      <c r="A62" s="280" t="s">
        <v>1465</v>
      </c>
      <c r="B62" s="287" t="s">
        <v>28</v>
      </c>
      <c r="C62" s="282" t="s">
        <v>1463</v>
      </c>
      <c r="D62" s="281" t="s">
        <v>33</v>
      </c>
      <c r="E62" s="281" t="s">
        <v>1388</v>
      </c>
      <c r="F62" s="283">
        <v>42255</v>
      </c>
      <c r="G62" s="283">
        <v>42311</v>
      </c>
      <c r="H62" s="283">
        <v>42314</v>
      </c>
      <c r="I62" s="284">
        <v>853330</v>
      </c>
      <c r="J62" s="284"/>
      <c r="K62" s="284"/>
      <c r="L62" s="284"/>
      <c r="M62" s="286"/>
      <c r="O62" s="261">
        <f t="shared" si="0"/>
        <v>0</v>
      </c>
    </row>
    <row r="63" spans="1:15">
      <c r="A63" s="280" t="s">
        <v>1464</v>
      </c>
      <c r="B63" s="287" t="s">
        <v>30</v>
      </c>
      <c r="C63" s="282" t="s">
        <v>1463</v>
      </c>
      <c r="D63" s="281" t="s">
        <v>33</v>
      </c>
      <c r="E63" s="281" t="s">
        <v>1388</v>
      </c>
      <c r="F63" s="283">
        <v>42255</v>
      </c>
      <c r="G63" s="283">
        <v>42311</v>
      </c>
      <c r="H63" s="283">
        <v>42321</v>
      </c>
      <c r="I63" s="284">
        <v>55000</v>
      </c>
      <c r="J63" s="284">
        <v>908330</v>
      </c>
      <c r="K63" s="284">
        <v>310000</v>
      </c>
      <c r="L63" s="284">
        <v>598330</v>
      </c>
      <c r="M63" s="286"/>
      <c r="O63" s="261">
        <f t="shared" si="0"/>
        <v>186626</v>
      </c>
    </row>
    <row r="64" spans="1:15" ht="15" thickBot="1">
      <c r="A64" s="280" t="s">
        <v>1540</v>
      </c>
      <c r="B64" s="287" t="s">
        <v>30</v>
      </c>
      <c r="C64" s="282" t="s">
        <v>1537</v>
      </c>
      <c r="D64" s="281" t="s">
        <v>33</v>
      </c>
      <c r="E64" s="281" t="s">
        <v>84</v>
      </c>
      <c r="F64" s="283">
        <v>42331</v>
      </c>
      <c r="G64" s="283">
        <v>42355</v>
      </c>
      <c r="H64" s="283">
        <v>42377</v>
      </c>
      <c r="I64" s="284">
        <v>243000</v>
      </c>
      <c r="J64" s="284"/>
      <c r="K64" s="284"/>
      <c r="L64" s="284"/>
      <c r="M64" s="286"/>
      <c r="O64" s="261">
        <f t="shared" si="0"/>
        <v>0</v>
      </c>
    </row>
    <row r="65" spans="1:15">
      <c r="A65" s="292" t="s">
        <v>1539</v>
      </c>
      <c r="B65" s="293" t="s">
        <v>28</v>
      </c>
      <c r="C65" s="294" t="s">
        <v>1537</v>
      </c>
      <c r="D65" s="295" t="s">
        <v>33</v>
      </c>
      <c r="E65" s="295" t="s">
        <v>84</v>
      </c>
      <c r="F65" s="296">
        <v>42331</v>
      </c>
      <c r="G65" s="296">
        <v>42355</v>
      </c>
      <c r="H65" s="296">
        <v>42403</v>
      </c>
      <c r="I65" s="297">
        <v>170281.38</v>
      </c>
      <c r="J65" s="298"/>
      <c r="K65" s="298"/>
      <c r="L65" s="298"/>
      <c r="M65" s="286"/>
      <c r="O65" s="261">
        <f t="shared" si="0"/>
        <v>0</v>
      </c>
    </row>
    <row r="66" spans="1:15">
      <c r="A66" s="299" t="s">
        <v>1538</v>
      </c>
      <c r="B66" s="300" t="s">
        <v>93</v>
      </c>
      <c r="C66" s="301" t="s">
        <v>1537</v>
      </c>
      <c r="D66" s="302" t="s">
        <v>33</v>
      </c>
      <c r="E66" s="302" t="s">
        <v>84</v>
      </c>
      <c r="F66" s="303">
        <v>42331</v>
      </c>
      <c r="G66" s="303">
        <v>42355</v>
      </c>
      <c r="H66" s="303">
        <v>42377</v>
      </c>
      <c r="I66" s="304">
        <v>38500</v>
      </c>
      <c r="J66" s="305">
        <v>451781.38</v>
      </c>
      <c r="K66" s="305">
        <v>310000</v>
      </c>
      <c r="L66" s="305">
        <v>141781.38</v>
      </c>
      <c r="M66" s="286"/>
      <c r="O66" s="261">
        <f t="shared" si="0"/>
        <v>0</v>
      </c>
    </row>
    <row r="67" spans="1:15">
      <c r="A67" s="280" t="s">
        <v>1462</v>
      </c>
      <c r="B67" s="281" t="s">
        <v>30</v>
      </c>
      <c r="C67" s="282" t="s">
        <v>1458</v>
      </c>
      <c r="D67" s="281" t="s">
        <v>33</v>
      </c>
      <c r="E67" s="281" t="s">
        <v>1457</v>
      </c>
      <c r="F67" s="283">
        <v>42242</v>
      </c>
      <c r="G67" s="283">
        <v>42313</v>
      </c>
      <c r="H67" s="283">
        <v>42327</v>
      </c>
      <c r="I67" s="284">
        <v>76857.919999999998</v>
      </c>
      <c r="J67" s="284"/>
      <c r="K67" s="284"/>
      <c r="L67" s="285"/>
      <c r="M67" s="286"/>
      <c r="O67" s="261">
        <f t="shared" si="0"/>
        <v>0</v>
      </c>
    </row>
    <row r="68" spans="1:15">
      <c r="A68" s="280" t="s">
        <v>1461</v>
      </c>
      <c r="B68" s="287" t="s">
        <v>28</v>
      </c>
      <c r="C68" s="282" t="s">
        <v>1458</v>
      </c>
      <c r="D68" s="281" t="s">
        <v>33</v>
      </c>
      <c r="E68" s="281" t="s">
        <v>1457</v>
      </c>
      <c r="F68" s="283">
        <v>42242</v>
      </c>
      <c r="G68" s="283">
        <v>42313</v>
      </c>
      <c r="H68" s="283">
        <v>42347</v>
      </c>
      <c r="I68" s="284">
        <v>115211.39</v>
      </c>
      <c r="J68" s="284"/>
      <c r="K68" s="284"/>
      <c r="L68" s="285"/>
      <c r="M68" s="286"/>
      <c r="O68" s="261">
        <f t="shared" si="0"/>
        <v>0</v>
      </c>
    </row>
    <row r="69" spans="1:15">
      <c r="A69" s="280" t="s">
        <v>1460</v>
      </c>
      <c r="B69" s="287" t="s">
        <v>23</v>
      </c>
      <c r="C69" s="282" t="s">
        <v>1458</v>
      </c>
      <c r="D69" s="281" t="s">
        <v>33</v>
      </c>
      <c r="E69" s="281" t="s">
        <v>1457</v>
      </c>
      <c r="F69" s="283">
        <v>42242</v>
      </c>
      <c r="G69" s="283">
        <v>42339</v>
      </c>
      <c r="H69" s="283">
        <v>42360</v>
      </c>
      <c r="I69" s="284">
        <v>68161.11</v>
      </c>
      <c r="J69" s="284"/>
      <c r="K69" s="284"/>
      <c r="L69" s="285"/>
      <c r="M69" s="286"/>
      <c r="O69" s="261">
        <f t="shared" si="0"/>
        <v>0</v>
      </c>
    </row>
    <row r="70" spans="1:15">
      <c r="A70" s="280" t="s">
        <v>1459</v>
      </c>
      <c r="B70" s="281" t="s">
        <v>28</v>
      </c>
      <c r="C70" s="282" t="s">
        <v>1458</v>
      </c>
      <c r="D70" s="281" t="s">
        <v>33</v>
      </c>
      <c r="E70" s="281" t="s">
        <v>1457</v>
      </c>
      <c r="F70" s="283">
        <v>42242</v>
      </c>
      <c r="G70" s="283">
        <v>42339</v>
      </c>
      <c r="H70" s="283">
        <v>42360</v>
      </c>
      <c r="I70" s="284">
        <v>174267.59</v>
      </c>
      <c r="J70" s="284">
        <v>434498.01</v>
      </c>
      <c r="K70" s="284">
        <v>310000</v>
      </c>
      <c r="L70" s="285">
        <v>124498.01000000001</v>
      </c>
      <c r="M70" s="286"/>
      <c r="O70" s="261">
        <f t="shared" si="0"/>
        <v>0</v>
      </c>
    </row>
    <row r="71" spans="1:15">
      <c r="A71" s="280" t="s">
        <v>1456</v>
      </c>
      <c r="B71" s="287" t="s">
        <v>23</v>
      </c>
      <c r="C71" s="282" t="s">
        <v>1451</v>
      </c>
      <c r="D71" s="281" t="s">
        <v>33</v>
      </c>
      <c r="E71" s="281" t="s">
        <v>1450</v>
      </c>
      <c r="F71" s="283">
        <v>42187</v>
      </c>
      <c r="G71" s="283">
        <v>42199</v>
      </c>
      <c r="H71" s="283">
        <v>42207</v>
      </c>
      <c r="I71" s="284">
        <v>75237.83</v>
      </c>
      <c r="J71" s="284"/>
      <c r="K71" s="284"/>
      <c r="L71" s="285"/>
      <c r="M71" s="286"/>
      <c r="O71" s="261">
        <f t="shared" si="0"/>
        <v>0</v>
      </c>
    </row>
    <row r="72" spans="1:15">
      <c r="A72" s="282" t="s">
        <v>1455</v>
      </c>
      <c r="B72" s="287" t="s">
        <v>393</v>
      </c>
      <c r="C72" s="282" t="s">
        <v>1451</v>
      </c>
      <c r="D72" s="282" t="s">
        <v>33</v>
      </c>
      <c r="E72" s="282" t="s">
        <v>1450</v>
      </c>
      <c r="F72" s="288">
        <v>42187</v>
      </c>
      <c r="G72" s="288">
        <v>42199</v>
      </c>
      <c r="H72" s="288">
        <v>42207</v>
      </c>
      <c r="I72" s="289">
        <v>20000</v>
      </c>
      <c r="J72" s="289"/>
      <c r="K72" s="284"/>
      <c r="L72" s="285"/>
      <c r="M72" s="291"/>
      <c r="O72" s="261">
        <f t="shared" si="0"/>
        <v>0</v>
      </c>
    </row>
    <row r="73" spans="1:15">
      <c r="A73" s="280" t="s">
        <v>1454</v>
      </c>
      <c r="B73" s="287" t="s">
        <v>28</v>
      </c>
      <c r="C73" s="282" t="s">
        <v>1451</v>
      </c>
      <c r="D73" s="281" t="s">
        <v>33</v>
      </c>
      <c r="E73" s="281" t="s">
        <v>1450</v>
      </c>
      <c r="F73" s="283">
        <v>42187</v>
      </c>
      <c r="G73" s="283">
        <v>42199</v>
      </c>
      <c r="H73" s="283">
        <v>42222</v>
      </c>
      <c r="I73" s="284">
        <v>150000</v>
      </c>
      <c r="J73" s="284"/>
      <c r="K73" s="284"/>
      <c r="L73" s="285"/>
      <c r="M73" s="286"/>
      <c r="O73" s="261">
        <f t="shared" ref="O73:O110" si="1">IF($J73&gt;P$8,$J73-P$8,0)</f>
        <v>0</v>
      </c>
    </row>
    <row r="74" spans="1:15">
      <c r="A74" s="280" t="s">
        <v>1453</v>
      </c>
      <c r="B74" s="281" t="s">
        <v>36</v>
      </c>
      <c r="C74" s="282" t="s">
        <v>1451</v>
      </c>
      <c r="D74" s="281" t="s">
        <v>33</v>
      </c>
      <c r="E74" s="281" t="s">
        <v>1450</v>
      </c>
      <c r="F74" s="283">
        <v>42187</v>
      </c>
      <c r="G74" s="283">
        <v>42199</v>
      </c>
      <c r="H74" s="283">
        <v>42222</v>
      </c>
      <c r="I74" s="284">
        <v>373000</v>
      </c>
      <c r="J74" s="284"/>
      <c r="K74" s="284"/>
      <c r="L74" s="285"/>
      <c r="M74" s="286"/>
      <c r="O74" s="261">
        <f t="shared" si="1"/>
        <v>0</v>
      </c>
    </row>
    <row r="75" spans="1:15">
      <c r="A75" s="280" t="s">
        <v>1452</v>
      </c>
      <c r="B75" s="287" t="s">
        <v>36</v>
      </c>
      <c r="C75" s="282" t="s">
        <v>1451</v>
      </c>
      <c r="D75" s="281" t="s">
        <v>33</v>
      </c>
      <c r="E75" s="281" t="s">
        <v>1450</v>
      </c>
      <c r="F75" s="283">
        <v>42187</v>
      </c>
      <c r="G75" s="283">
        <v>42199</v>
      </c>
      <c r="H75" s="283">
        <v>42222</v>
      </c>
      <c r="I75" s="284">
        <v>14252.06</v>
      </c>
      <c r="J75" s="284">
        <v>632489.89000000013</v>
      </c>
      <c r="K75" s="284">
        <v>310000</v>
      </c>
      <c r="L75" s="285">
        <v>322489.89000000013</v>
      </c>
      <c r="M75" s="286"/>
      <c r="O75" s="261">
        <f t="shared" si="1"/>
        <v>0</v>
      </c>
    </row>
    <row r="76" spans="1:15">
      <c r="A76" s="280" t="s">
        <v>1449</v>
      </c>
      <c r="B76" s="287" t="s">
        <v>28</v>
      </c>
      <c r="C76" s="282" t="s">
        <v>1448</v>
      </c>
      <c r="D76" s="281" t="s">
        <v>33</v>
      </c>
      <c r="E76" s="281" t="s">
        <v>290</v>
      </c>
      <c r="F76" s="283">
        <v>42129</v>
      </c>
      <c r="G76" s="283">
        <v>42212</v>
      </c>
      <c r="H76" s="283">
        <v>42223</v>
      </c>
      <c r="I76" s="284">
        <v>1165726.5999999999</v>
      </c>
      <c r="J76" s="284">
        <v>1165726.5999999999</v>
      </c>
      <c r="K76" s="284">
        <v>310000</v>
      </c>
      <c r="L76" s="285">
        <v>855726.59999999986</v>
      </c>
      <c r="M76" s="286"/>
      <c r="O76" s="261">
        <f t="shared" si="1"/>
        <v>444022.59999999986</v>
      </c>
    </row>
    <row r="77" spans="1:15">
      <c r="A77" s="290" t="s">
        <v>1445</v>
      </c>
      <c r="B77" s="281" t="s">
        <v>23</v>
      </c>
      <c r="C77" s="282" t="s">
        <v>1443</v>
      </c>
      <c r="D77" s="281" t="s">
        <v>33</v>
      </c>
      <c r="E77" s="281" t="s">
        <v>84</v>
      </c>
      <c r="F77" s="288">
        <v>42091</v>
      </c>
      <c r="G77" s="288">
        <v>42271</v>
      </c>
      <c r="H77" s="288">
        <v>42297</v>
      </c>
      <c r="I77" s="289">
        <v>130108.02</v>
      </c>
      <c r="J77" s="288"/>
      <c r="K77" s="288"/>
      <c r="L77" s="285"/>
      <c r="M77" s="291"/>
      <c r="O77" s="261">
        <f t="shared" si="1"/>
        <v>0</v>
      </c>
    </row>
    <row r="78" spans="1:15">
      <c r="A78" s="290" t="s">
        <v>1444</v>
      </c>
      <c r="B78" s="287" t="s">
        <v>28</v>
      </c>
      <c r="C78" s="282" t="s">
        <v>1443</v>
      </c>
      <c r="D78" s="281" t="s">
        <v>33</v>
      </c>
      <c r="E78" s="281" t="s">
        <v>84</v>
      </c>
      <c r="F78" s="288">
        <v>42091</v>
      </c>
      <c r="G78" s="288">
        <v>42271</v>
      </c>
      <c r="H78" s="288">
        <v>42297</v>
      </c>
      <c r="I78" s="289">
        <v>261171.85</v>
      </c>
      <c r="J78" s="289"/>
      <c r="K78" s="284"/>
      <c r="L78" s="285"/>
      <c r="M78" s="291"/>
      <c r="O78" s="261">
        <f t="shared" si="1"/>
        <v>0</v>
      </c>
    </row>
    <row r="79" spans="1:15">
      <c r="A79" s="280" t="s">
        <v>1447</v>
      </c>
      <c r="B79" s="287" t="s">
        <v>23</v>
      </c>
      <c r="C79" s="282" t="s">
        <v>1443</v>
      </c>
      <c r="D79" s="281" t="s">
        <v>33</v>
      </c>
      <c r="E79" s="281" t="s">
        <v>84</v>
      </c>
      <c r="F79" s="283">
        <v>42091</v>
      </c>
      <c r="G79" s="283">
        <v>42179</v>
      </c>
      <c r="H79" s="283">
        <v>42198</v>
      </c>
      <c r="I79" s="284">
        <v>33399.79</v>
      </c>
      <c r="J79" s="284"/>
      <c r="K79" s="284"/>
      <c r="L79" s="284"/>
      <c r="M79" s="286"/>
      <c r="O79" s="261">
        <f t="shared" si="1"/>
        <v>0</v>
      </c>
    </row>
    <row r="80" spans="1:15">
      <c r="A80" s="280" t="s">
        <v>1446</v>
      </c>
      <c r="B80" s="287" t="s">
        <v>28</v>
      </c>
      <c r="C80" s="282" t="s">
        <v>1443</v>
      </c>
      <c r="D80" s="281" t="s">
        <v>33</v>
      </c>
      <c r="E80" s="281" t="s">
        <v>84</v>
      </c>
      <c r="F80" s="283">
        <v>42091</v>
      </c>
      <c r="G80" s="283">
        <v>42179</v>
      </c>
      <c r="H80" s="283">
        <v>42198</v>
      </c>
      <c r="I80" s="284">
        <v>21773.360000000001</v>
      </c>
      <c r="J80" s="284">
        <v>446453.01999999996</v>
      </c>
      <c r="K80" s="284">
        <v>310000</v>
      </c>
      <c r="L80" s="284">
        <v>136453.01999999996</v>
      </c>
      <c r="M80" s="286"/>
      <c r="O80" s="261">
        <f t="shared" si="1"/>
        <v>0</v>
      </c>
    </row>
    <row r="81" spans="1:15">
      <c r="A81" s="280" t="s">
        <v>1536</v>
      </c>
      <c r="B81" s="281" t="s">
        <v>23</v>
      </c>
      <c r="C81" s="282" t="s">
        <v>1534</v>
      </c>
      <c r="D81" s="281" t="s">
        <v>33</v>
      </c>
      <c r="E81" s="281" t="s">
        <v>38</v>
      </c>
      <c r="F81" s="283">
        <v>42320</v>
      </c>
      <c r="G81" s="283">
        <v>42373</v>
      </c>
      <c r="H81" s="283">
        <v>42409</v>
      </c>
      <c r="I81" s="284">
        <v>88806.2</v>
      </c>
      <c r="J81" s="284"/>
      <c r="K81" s="284"/>
      <c r="L81" s="285"/>
      <c r="M81" s="286"/>
      <c r="O81" s="261">
        <f t="shared" si="1"/>
        <v>0</v>
      </c>
    </row>
    <row r="82" spans="1:15">
      <c r="A82" s="280" t="s">
        <v>1535</v>
      </c>
      <c r="B82" s="281" t="s">
        <v>174</v>
      </c>
      <c r="C82" s="282" t="s">
        <v>1534</v>
      </c>
      <c r="D82" s="281" t="s">
        <v>33</v>
      </c>
      <c r="E82" s="281" t="s">
        <v>38</v>
      </c>
      <c r="F82" s="283">
        <v>42320</v>
      </c>
      <c r="G82" s="283">
        <v>42373</v>
      </c>
      <c r="H82" s="283">
        <v>42409</v>
      </c>
      <c r="I82" s="284">
        <v>321654.78000000003</v>
      </c>
      <c r="J82" s="284">
        <v>410460.98000000004</v>
      </c>
      <c r="K82" s="284">
        <v>310000</v>
      </c>
      <c r="L82" s="285">
        <v>100460.98000000004</v>
      </c>
      <c r="M82" s="286"/>
      <c r="O82" s="261">
        <f t="shared" si="1"/>
        <v>0</v>
      </c>
    </row>
    <row r="83" spans="1:15">
      <c r="A83" s="280" t="s">
        <v>1442</v>
      </c>
      <c r="B83" s="287" t="s">
        <v>23</v>
      </c>
      <c r="C83" s="282" t="s">
        <v>1439</v>
      </c>
      <c r="D83" s="281" t="s">
        <v>33</v>
      </c>
      <c r="E83" s="281" t="s">
        <v>1438</v>
      </c>
      <c r="F83" s="283">
        <v>42224</v>
      </c>
      <c r="G83" s="283">
        <v>42279</v>
      </c>
      <c r="H83" s="283">
        <v>42293</v>
      </c>
      <c r="I83" s="284">
        <v>53000</v>
      </c>
      <c r="J83" s="284"/>
      <c r="K83" s="284"/>
      <c r="L83" s="285"/>
      <c r="M83" s="286"/>
      <c r="O83" s="261">
        <f t="shared" si="1"/>
        <v>0</v>
      </c>
    </row>
    <row r="84" spans="1:15">
      <c r="A84" s="280" t="s">
        <v>1441</v>
      </c>
      <c r="B84" s="281" t="s">
        <v>28</v>
      </c>
      <c r="C84" s="282" t="s">
        <v>1439</v>
      </c>
      <c r="D84" s="281" t="s">
        <v>33</v>
      </c>
      <c r="E84" s="281" t="s">
        <v>1438</v>
      </c>
      <c r="F84" s="283">
        <v>42224</v>
      </c>
      <c r="G84" s="283">
        <v>42279</v>
      </c>
      <c r="H84" s="283">
        <v>42293</v>
      </c>
      <c r="I84" s="284">
        <v>287847.36</v>
      </c>
      <c r="J84" s="284"/>
      <c r="K84" s="284"/>
      <c r="L84" s="285"/>
      <c r="M84" s="286"/>
      <c r="O84" s="261">
        <f t="shared" si="1"/>
        <v>0</v>
      </c>
    </row>
    <row r="85" spans="1:15">
      <c r="A85" s="280" t="s">
        <v>1440</v>
      </c>
      <c r="B85" s="287" t="s">
        <v>50</v>
      </c>
      <c r="C85" s="282" t="s">
        <v>1439</v>
      </c>
      <c r="D85" s="281" t="s">
        <v>33</v>
      </c>
      <c r="E85" s="281" t="s">
        <v>1438</v>
      </c>
      <c r="F85" s="283">
        <v>42224</v>
      </c>
      <c r="G85" s="283">
        <v>42279</v>
      </c>
      <c r="H85" s="283">
        <v>42293</v>
      </c>
      <c r="I85" s="284">
        <v>7000</v>
      </c>
      <c r="J85" s="284">
        <v>347847.36</v>
      </c>
      <c r="K85" s="284">
        <v>310000</v>
      </c>
      <c r="L85" s="285">
        <v>37847.359999999986</v>
      </c>
      <c r="M85" s="286"/>
      <c r="O85" s="261">
        <f t="shared" si="1"/>
        <v>0</v>
      </c>
    </row>
    <row r="86" spans="1:15">
      <c r="A86" s="280" t="s">
        <v>1437</v>
      </c>
      <c r="B86" s="281" t="s">
        <v>329</v>
      </c>
      <c r="C86" s="282" t="s">
        <v>1436</v>
      </c>
      <c r="D86" s="281" t="s">
        <v>33</v>
      </c>
      <c r="E86" s="281" t="s">
        <v>1435</v>
      </c>
      <c r="F86" s="283">
        <v>42138</v>
      </c>
      <c r="G86" s="283">
        <v>42171</v>
      </c>
      <c r="H86" s="283">
        <v>42222</v>
      </c>
      <c r="I86" s="284">
        <v>1300000</v>
      </c>
      <c r="J86" s="284"/>
      <c r="K86" s="284"/>
      <c r="L86" s="285"/>
      <c r="M86" s="286"/>
      <c r="O86" s="261">
        <f t="shared" si="1"/>
        <v>0</v>
      </c>
    </row>
    <row r="87" spans="1:15">
      <c r="A87" s="280" t="s">
        <v>1437</v>
      </c>
      <c r="B87" s="287" t="s">
        <v>329</v>
      </c>
      <c r="C87" s="282" t="s">
        <v>1436</v>
      </c>
      <c r="D87" s="281" t="s">
        <v>33</v>
      </c>
      <c r="E87" s="281" t="s">
        <v>1435</v>
      </c>
      <c r="F87" s="283">
        <v>42138</v>
      </c>
      <c r="G87" s="283">
        <v>42171</v>
      </c>
      <c r="H87" s="283">
        <v>42222</v>
      </c>
      <c r="I87" s="284">
        <v>6000</v>
      </c>
      <c r="J87" s="284">
        <v>1306000</v>
      </c>
      <c r="K87" s="284">
        <v>310000</v>
      </c>
      <c r="L87" s="285">
        <v>996000</v>
      </c>
      <c r="M87" s="286"/>
      <c r="O87" s="261">
        <f t="shared" si="1"/>
        <v>584296</v>
      </c>
    </row>
    <row r="88" spans="1:15">
      <c r="A88" s="280" t="s">
        <v>1434</v>
      </c>
      <c r="B88" s="287" t="s">
        <v>23</v>
      </c>
      <c r="C88" s="282" t="s">
        <v>1432</v>
      </c>
      <c r="D88" s="281" t="s">
        <v>33</v>
      </c>
      <c r="E88" s="281" t="s">
        <v>38</v>
      </c>
      <c r="F88" s="283">
        <v>42175</v>
      </c>
      <c r="G88" s="283">
        <v>42213</v>
      </c>
      <c r="H88" s="283">
        <v>42243</v>
      </c>
      <c r="I88" s="284">
        <v>48111.05</v>
      </c>
      <c r="J88" s="284"/>
      <c r="K88" s="284"/>
      <c r="L88" s="284"/>
      <c r="M88" s="286"/>
      <c r="O88" s="261">
        <f t="shared" si="1"/>
        <v>0</v>
      </c>
    </row>
    <row r="89" spans="1:15">
      <c r="A89" s="280" t="s">
        <v>1433</v>
      </c>
      <c r="B89" s="287" t="s">
        <v>28</v>
      </c>
      <c r="C89" s="282" t="s">
        <v>1432</v>
      </c>
      <c r="D89" s="281" t="s">
        <v>33</v>
      </c>
      <c r="E89" s="281" t="s">
        <v>38</v>
      </c>
      <c r="F89" s="283">
        <v>42175</v>
      </c>
      <c r="G89" s="283">
        <v>42213</v>
      </c>
      <c r="H89" s="283">
        <v>42243</v>
      </c>
      <c r="I89" s="284">
        <v>651000</v>
      </c>
      <c r="J89" s="284"/>
      <c r="K89" s="284"/>
      <c r="L89" s="284"/>
      <c r="M89" s="286"/>
      <c r="O89" s="261">
        <f t="shared" si="1"/>
        <v>0</v>
      </c>
    </row>
    <row r="90" spans="1:15">
      <c r="A90" s="280" t="s">
        <v>2065</v>
      </c>
      <c r="B90" s="281" t="s">
        <v>93</v>
      </c>
      <c r="C90" s="282" t="s">
        <v>1432</v>
      </c>
      <c r="D90" s="281" t="s">
        <v>33</v>
      </c>
      <c r="E90" s="281" t="s">
        <v>38</v>
      </c>
      <c r="F90" s="283">
        <v>42175</v>
      </c>
      <c r="G90" s="283">
        <v>42205</v>
      </c>
      <c r="H90" s="283">
        <v>42222</v>
      </c>
      <c r="I90" s="284">
        <v>154000</v>
      </c>
      <c r="J90" s="284">
        <v>853111.05</v>
      </c>
      <c r="K90" s="284">
        <v>310000</v>
      </c>
      <c r="L90" s="285">
        <v>543111.05000000005</v>
      </c>
      <c r="M90" s="286"/>
      <c r="O90" s="261">
        <f t="shared" si="1"/>
        <v>131407.05000000005</v>
      </c>
    </row>
    <row r="91" spans="1:15">
      <c r="A91" s="280" t="s">
        <v>1533</v>
      </c>
      <c r="B91" s="287" t="s">
        <v>23</v>
      </c>
      <c r="C91" s="282" t="s">
        <v>1531</v>
      </c>
      <c r="D91" s="281" t="s">
        <v>33</v>
      </c>
      <c r="E91" s="281" t="s">
        <v>69</v>
      </c>
      <c r="F91" s="283">
        <v>42348</v>
      </c>
      <c r="G91" s="283">
        <v>42373</v>
      </c>
      <c r="H91" s="283">
        <v>42409</v>
      </c>
      <c r="I91" s="284">
        <v>64499.839999999997</v>
      </c>
      <c r="J91" s="284"/>
      <c r="K91" s="284"/>
      <c r="L91" s="285"/>
      <c r="M91" s="286"/>
      <c r="O91" s="261">
        <f t="shared" si="1"/>
        <v>0</v>
      </c>
    </row>
    <row r="92" spans="1:15">
      <c r="A92" s="280" t="s">
        <v>1532</v>
      </c>
      <c r="B92" s="287" t="s">
        <v>174</v>
      </c>
      <c r="C92" s="282" t="s">
        <v>1531</v>
      </c>
      <c r="D92" s="281" t="s">
        <v>33</v>
      </c>
      <c r="E92" s="281" t="s">
        <v>69</v>
      </c>
      <c r="F92" s="283">
        <v>42348</v>
      </c>
      <c r="G92" s="283">
        <v>42373</v>
      </c>
      <c r="H92" s="283">
        <v>42409</v>
      </c>
      <c r="I92" s="284">
        <v>280000</v>
      </c>
      <c r="J92" s="284">
        <v>344499.83999999997</v>
      </c>
      <c r="K92" s="284">
        <v>310000</v>
      </c>
      <c r="L92" s="284">
        <v>34499.839999999967</v>
      </c>
      <c r="M92" s="286"/>
      <c r="O92" s="261">
        <f t="shared" si="1"/>
        <v>0</v>
      </c>
    </row>
    <row r="93" spans="1:15">
      <c r="A93" s="280" t="s">
        <v>1431</v>
      </c>
      <c r="B93" s="287" t="s">
        <v>140</v>
      </c>
      <c r="C93" s="282" t="s">
        <v>1427</v>
      </c>
      <c r="D93" s="281" t="s">
        <v>1429</v>
      </c>
      <c r="E93" s="281" t="s">
        <v>1430</v>
      </c>
      <c r="F93" s="283">
        <v>42070</v>
      </c>
      <c r="G93" s="283">
        <v>42104</v>
      </c>
      <c r="H93" s="283">
        <v>42111</v>
      </c>
      <c r="I93" s="284">
        <v>10000</v>
      </c>
      <c r="J93" s="284"/>
      <c r="K93" s="284"/>
      <c r="L93" s="284"/>
      <c r="M93" s="286"/>
      <c r="O93" s="261">
        <f t="shared" si="1"/>
        <v>0</v>
      </c>
    </row>
    <row r="94" spans="1:15">
      <c r="A94" s="280" t="s">
        <v>1428</v>
      </c>
      <c r="B94" s="287" t="s">
        <v>93</v>
      </c>
      <c r="C94" s="282" t="s">
        <v>1427</v>
      </c>
      <c r="D94" s="281" t="s">
        <v>33</v>
      </c>
      <c r="E94" s="281" t="s">
        <v>1426</v>
      </c>
      <c r="F94" s="283">
        <v>42070</v>
      </c>
      <c r="G94" s="283">
        <v>42087</v>
      </c>
      <c r="H94" s="283">
        <v>42101</v>
      </c>
      <c r="I94" s="284">
        <v>331100</v>
      </c>
      <c r="J94" s="284">
        <v>341100</v>
      </c>
      <c r="K94" s="284">
        <v>310000</v>
      </c>
      <c r="L94" s="284">
        <v>31100</v>
      </c>
      <c r="M94" s="286"/>
      <c r="O94" s="261">
        <f t="shared" si="1"/>
        <v>0</v>
      </c>
    </row>
    <row r="95" spans="1:15">
      <c r="A95" s="280" t="s">
        <v>1527</v>
      </c>
      <c r="B95" s="287" t="s">
        <v>23</v>
      </c>
      <c r="C95" s="282" t="s">
        <v>1523</v>
      </c>
      <c r="D95" s="281" t="s">
        <v>33</v>
      </c>
      <c r="E95" s="281" t="s">
        <v>38</v>
      </c>
      <c r="F95" s="283">
        <v>42340</v>
      </c>
      <c r="G95" s="283">
        <v>42408</v>
      </c>
      <c r="H95" s="283">
        <v>42424</v>
      </c>
      <c r="I95" s="284">
        <v>15500</v>
      </c>
      <c r="J95" s="284"/>
      <c r="K95" s="284"/>
      <c r="L95" s="284"/>
      <c r="M95" s="286"/>
      <c r="O95" s="261">
        <f t="shared" si="1"/>
        <v>0</v>
      </c>
    </row>
    <row r="96" spans="1:15">
      <c r="A96" s="280" t="s">
        <v>1526</v>
      </c>
      <c r="B96" s="281" t="s">
        <v>245</v>
      </c>
      <c r="C96" s="282" t="s">
        <v>1523</v>
      </c>
      <c r="D96" s="281" t="s">
        <v>33</v>
      </c>
      <c r="E96" s="281" t="s">
        <v>38</v>
      </c>
      <c r="F96" s="283">
        <v>42340</v>
      </c>
      <c r="G96" s="283">
        <v>42408</v>
      </c>
      <c r="H96" s="283">
        <v>42424</v>
      </c>
      <c r="I96" s="284">
        <v>65000</v>
      </c>
      <c r="J96" s="284"/>
      <c r="K96" s="284"/>
      <c r="L96" s="285"/>
      <c r="M96" s="286"/>
      <c r="O96" s="261">
        <f t="shared" si="1"/>
        <v>0</v>
      </c>
    </row>
    <row r="97" spans="1:15">
      <c r="A97" s="280" t="s">
        <v>1525</v>
      </c>
      <c r="B97" s="287" t="s">
        <v>23</v>
      </c>
      <c r="C97" s="282" t="s">
        <v>1523</v>
      </c>
      <c r="D97" s="281" t="s">
        <v>33</v>
      </c>
      <c r="E97" s="281" t="s">
        <v>38</v>
      </c>
      <c r="F97" s="283">
        <v>42340</v>
      </c>
      <c r="G97" s="283">
        <v>42479</v>
      </c>
      <c r="H97" s="283">
        <v>42494</v>
      </c>
      <c r="I97" s="284">
        <v>46562.61</v>
      </c>
      <c r="J97" s="284"/>
      <c r="K97" s="284"/>
      <c r="L97" s="285"/>
      <c r="M97" s="286"/>
      <c r="O97" s="261">
        <f t="shared" si="1"/>
        <v>0</v>
      </c>
    </row>
    <row r="98" spans="1:15">
      <c r="A98" s="280" t="s">
        <v>1524</v>
      </c>
      <c r="B98" s="281" t="s">
        <v>174</v>
      </c>
      <c r="C98" s="282" t="s">
        <v>1523</v>
      </c>
      <c r="D98" s="281" t="s">
        <v>33</v>
      </c>
      <c r="E98" s="281" t="s">
        <v>38</v>
      </c>
      <c r="F98" s="283">
        <v>42340</v>
      </c>
      <c r="G98" s="283">
        <v>42479</v>
      </c>
      <c r="H98" s="283">
        <v>42494</v>
      </c>
      <c r="I98" s="284">
        <v>259784.05</v>
      </c>
      <c r="J98" s="284">
        <v>386846.66</v>
      </c>
      <c r="K98" s="284">
        <v>310000</v>
      </c>
      <c r="L98" s="285">
        <v>76846.659999999974</v>
      </c>
      <c r="M98" s="286"/>
      <c r="O98" s="261">
        <f t="shared" si="1"/>
        <v>0</v>
      </c>
    </row>
    <row r="99" spans="1:15">
      <c r="A99" s="280" t="s">
        <v>1425</v>
      </c>
      <c r="B99" s="287" t="s">
        <v>23</v>
      </c>
      <c r="C99" s="282" t="s">
        <v>1423</v>
      </c>
      <c r="D99" s="281" t="s">
        <v>33</v>
      </c>
      <c r="E99" s="281" t="s">
        <v>153</v>
      </c>
      <c r="F99" s="283">
        <v>42264</v>
      </c>
      <c r="G99" s="283">
        <v>42290</v>
      </c>
      <c r="H99" s="283">
        <v>42334</v>
      </c>
      <c r="I99" s="284">
        <v>64087.56</v>
      </c>
      <c r="J99" s="284"/>
      <c r="K99" s="284"/>
      <c r="L99" s="285"/>
      <c r="M99" s="286"/>
      <c r="O99" s="261">
        <f t="shared" si="1"/>
        <v>0</v>
      </c>
    </row>
    <row r="100" spans="1:15">
      <c r="A100" s="280" t="s">
        <v>1424</v>
      </c>
      <c r="B100" s="287" t="s">
        <v>28</v>
      </c>
      <c r="C100" s="282" t="s">
        <v>1423</v>
      </c>
      <c r="D100" s="281" t="s">
        <v>33</v>
      </c>
      <c r="E100" s="281" t="s">
        <v>153</v>
      </c>
      <c r="F100" s="283">
        <v>42264</v>
      </c>
      <c r="G100" s="283">
        <v>42290</v>
      </c>
      <c r="H100" s="283">
        <v>42334</v>
      </c>
      <c r="I100" s="284">
        <v>1432000</v>
      </c>
      <c r="J100" s="284">
        <v>1496087.56</v>
      </c>
      <c r="K100" s="284">
        <v>310000</v>
      </c>
      <c r="L100" s="285">
        <v>1186087.56</v>
      </c>
      <c r="M100" s="286"/>
      <c r="O100" s="261">
        <f t="shared" si="1"/>
        <v>774383.56</v>
      </c>
    </row>
    <row r="101" spans="1:15">
      <c r="A101" s="280" t="s">
        <v>1422</v>
      </c>
      <c r="B101" s="281" t="s">
        <v>30</v>
      </c>
      <c r="C101" s="282" t="s">
        <v>1419</v>
      </c>
      <c r="D101" s="281" t="s">
        <v>33</v>
      </c>
      <c r="E101" s="281" t="s">
        <v>69</v>
      </c>
      <c r="F101" s="283">
        <v>42107</v>
      </c>
      <c r="G101" s="283">
        <v>42132</v>
      </c>
      <c r="H101" s="283">
        <v>42152</v>
      </c>
      <c r="I101" s="284">
        <v>87850.26</v>
      </c>
      <c r="J101" s="284"/>
      <c r="K101" s="284"/>
      <c r="L101" s="285"/>
      <c r="M101" s="286"/>
      <c r="O101" s="261">
        <f t="shared" si="1"/>
        <v>0</v>
      </c>
    </row>
    <row r="102" spans="1:15">
      <c r="A102" s="280" t="s">
        <v>1421</v>
      </c>
      <c r="B102" s="287" t="s">
        <v>50</v>
      </c>
      <c r="C102" s="282" t="s">
        <v>1419</v>
      </c>
      <c r="D102" s="281" t="s">
        <v>33</v>
      </c>
      <c r="E102" s="281" t="s">
        <v>69</v>
      </c>
      <c r="F102" s="283">
        <v>42107</v>
      </c>
      <c r="G102" s="283">
        <v>42132</v>
      </c>
      <c r="H102" s="283">
        <v>42152</v>
      </c>
      <c r="I102" s="284">
        <v>50000</v>
      </c>
      <c r="J102" s="284"/>
      <c r="K102" s="284"/>
      <c r="L102" s="285"/>
      <c r="M102" s="286"/>
      <c r="O102" s="261">
        <f t="shared" si="1"/>
        <v>0</v>
      </c>
    </row>
    <row r="103" spans="1:15">
      <c r="A103" s="280" t="s">
        <v>1420</v>
      </c>
      <c r="B103" s="287" t="s">
        <v>28</v>
      </c>
      <c r="C103" s="282" t="s">
        <v>1419</v>
      </c>
      <c r="D103" s="281" t="s">
        <v>33</v>
      </c>
      <c r="E103" s="281" t="s">
        <v>69</v>
      </c>
      <c r="F103" s="283">
        <v>42107</v>
      </c>
      <c r="G103" s="283">
        <v>42132</v>
      </c>
      <c r="H103" s="283">
        <v>42152</v>
      </c>
      <c r="I103" s="284">
        <v>199300</v>
      </c>
      <c r="J103" s="284">
        <v>337150.26</v>
      </c>
      <c r="K103" s="284">
        <v>310000</v>
      </c>
      <c r="L103" s="285">
        <v>27150.260000000009</v>
      </c>
      <c r="M103" s="286"/>
      <c r="O103" s="261"/>
    </row>
    <row r="104" spans="1:15">
      <c r="A104" s="280" t="s">
        <v>1418</v>
      </c>
      <c r="B104" s="287" t="s">
        <v>28</v>
      </c>
      <c r="C104" s="282" t="s">
        <v>1416</v>
      </c>
      <c r="D104" s="281" t="s">
        <v>313</v>
      </c>
      <c r="E104" s="281" t="s">
        <v>1415</v>
      </c>
      <c r="F104" s="283">
        <v>42247</v>
      </c>
      <c r="G104" s="283">
        <v>42311</v>
      </c>
      <c r="H104" s="283">
        <v>42334</v>
      </c>
      <c r="I104" s="284">
        <v>249313.64</v>
      </c>
      <c r="J104" s="284"/>
      <c r="K104" s="284"/>
      <c r="L104" s="285"/>
      <c r="M104" s="286"/>
      <c r="O104" s="261"/>
    </row>
    <row r="105" spans="1:15">
      <c r="A105" s="280" t="s">
        <v>1417</v>
      </c>
      <c r="B105" s="287" t="s">
        <v>28</v>
      </c>
      <c r="C105" s="282" t="s">
        <v>1416</v>
      </c>
      <c r="D105" s="281" t="s">
        <v>313</v>
      </c>
      <c r="E105" s="281" t="s">
        <v>1415</v>
      </c>
      <c r="F105" s="283">
        <v>42247</v>
      </c>
      <c r="G105" s="283">
        <v>42311</v>
      </c>
      <c r="H105" s="283">
        <v>42334</v>
      </c>
      <c r="I105" s="284">
        <v>194099.74</v>
      </c>
      <c r="J105" s="284">
        <v>443413.38</v>
      </c>
      <c r="K105" s="284">
        <v>310000</v>
      </c>
      <c r="L105" s="285">
        <v>133413.38</v>
      </c>
      <c r="M105" s="286"/>
      <c r="O105" s="261"/>
    </row>
    <row r="106" spans="1:15">
      <c r="A106" s="280" t="s">
        <v>1414</v>
      </c>
      <c r="B106" s="281" t="s">
        <v>23</v>
      </c>
      <c r="C106" s="282" t="s">
        <v>1412</v>
      </c>
      <c r="D106" s="281" t="s">
        <v>33</v>
      </c>
      <c r="E106" s="281" t="s">
        <v>1411</v>
      </c>
      <c r="F106" s="283">
        <v>42086</v>
      </c>
      <c r="G106" s="283">
        <v>42177</v>
      </c>
      <c r="H106" s="283">
        <v>42180</v>
      </c>
      <c r="I106" s="284">
        <v>57715.37</v>
      </c>
      <c r="J106" s="284"/>
      <c r="K106" s="284"/>
      <c r="L106" s="285"/>
      <c r="M106" s="286"/>
      <c r="O106" s="261">
        <f t="shared" si="1"/>
        <v>0</v>
      </c>
    </row>
    <row r="107" spans="1:15">
      <c r="A107" s="280" t="s">
        <v>1413</v>
      </c>
      <c r="B107" s="287" t="s">
        <v>28</v>
      </c>
      <c r="C107" s="282" t="s">
        <v>1412</v>
      </c>
      <c r="D107" s="281" t="s">
        <v>33</v>
      </c>
      <c r="E107" s="281" t="s">
        <v>1411</v>
      </c>
      <c r="F107" s="283">
        <v>42086</v>
      </c>
      <c r="G107" s="283">
        <v>42177</v>
      </c>
      <c r="H107" s="283">
        <v>42237</v>
      </c>
      <c r="I107" s="284">
        <v>500000</v>
      </c>
      <c r="J107" s="284">
        <v>557715.37</v>
      </c>
      <c r="K107" s="284">
        <v>310000</v>
      </c>
      <c r="L107" s="284">
        <v>247715.37</v>
      </c>
      <c r="M107" s="286"/>
      <c r="O107" s="261">
        <f t="shared" si="1"/>
        <v>0</v>
      </c>
    </row>
    <row r="108" spans="1:15">
      <c r="A108" s="280" t="s">
        <v>1522</v>
      </c>
      <c r="B108" s="287" t="s">
        <v>245</v>
      </c>
      <c r="C108" s="282" t="s">
        <v>1521</v>
      </c>
      <c r="D108" s="281" t="s">
        <v>313</v>
      </c>
      <c r="E108" s="281" t="s">
        <v>1375</v>
      </c>
      <c r="F108" s="283">
        <v>42309</v>
      </c>
      <c r="G108" s="283">
        <v>42436</v>
      </c>
      <c r="H108" s="283">
        <v>42495</v>
      </c>
      <c r="I108" s="284">
        <v>1000000</v>
      </c>
      <c r="J108" s="284"/>
      <c r="K108" s="284"/>
      <c r="L108" s="284"/>
      <c r="M108" s="286"/>
      <c r="O108" s="261">
        <f t="shared" si="1"/>
        <v>0</v>
      </c>
    </row>
    <row r="109" spans="1:15">
      <c r="A109" s="280" t="s">
        <v>1528</v>
      </c>
      <c r="B109" s="287" t="s">
        <v>245</v>
      </c>
      <c r="C109" s="282" t="s">
        <v>1521</v>
      </c>
      <c r="D109" s="281" t="s">
        <v>313</v>
      </c>
      <c r="E109" s="281" t="s">
        <v>1375</v>
      </c>
      <c r="F109" s="283">
        <v>42309</v>
      </c>
      <c r="G109" s="283">
        <v>42436</v>
      </c>
      <c r="H109" s="283">
        <v>42495</v>
      </c>
      <c r="I109" s="284">
        <v>315328</v>
      </c>
      <c r="J109" s="284"/>
      <c r="K109" s="284"/>
      <c r="L109" s="284"/>
      <c r="M109" s="286"/>
      <c r="O109" s="261">
        <f t="shared" si="1"/>
        <v>0</v>
      </c>
    </row>
    <row r="110" spans="1:15" ht="15" thickBot="1">
      <c r="A110" s="280" t="s">
        <v>1522</v>
      </c>
      <c r="B110" s="287" t="s">
        <v>245</v>
      </c>
      <c r="C110" s="282" t="s">
        <v>1521</v>
      </c>
      <c r="D110" s="281" t="s">
        <v>313</v>
      </c>
      <c r="E110" s="281" t="s">
        <v>1375</v>
      </c>
      <c r="F110" s="283">
        <v>42309</v>
      </c>
      <c r="G110" s="283">
        <v>42436</v>
      </c>
      <c r="H110" s="283">
        <v>42508</v>
      </c>
      <c r="I110" s="284">
        <v>5000</v>
      </c>
      <c r="J110" s="284">
        <v>1320328</v>
      </c>
      <c r="K110" s="284">
        <v>310000</v>
      </c>
      <c r="L110" s="284">
        <v>1010328</v>
      </c>
      <c r="M110" s="286"/>
      <c r="O110" s="261">
        <f t="shared" si="1"/>
        <v>598624</v>
      </c>
    </row>
    <row r="111" spans="1:15" ht="15" thickBot="1">
      <c r="A111" s="240"/>
      <c r="B111" s="240"/>
      <c r="C111" s="240"/>
      <c r="D111" s="240"/>
      <c r="E111" s="240"/>
      <c r="F111" s="240"/>
      <c r="G111" s="240"/>
      <c r="H111" s="240" t="s">
        <v>215</v>
      </c>
      <c r="I111" s="253">
        <f>SUM(I10:I110)</f>
        <v>24827912.999999996</v>
      </c>
      <c r="J111" s="253">
        <f t="shared" ref="J111:K111" si="2">SUM(J10:J110)</f>
        <v>24827913</v>
      </c>
      <c r="K111" s="253">
        <f t="shared" si="2"/>
        <v>11470000</v>
      </c>
      <c r="L111" s="253">
        <f>SUM(L10:L110)</f>
        <v>13357913</v>
      </c>
      <c r="M111" s="253">
        <f>SUM(M10:M81)</f>
        <v>0</v>
      </c>
      <c r="O111" s="277">
        <f>SUM(O10:O110)</f>
        <v>5427896.5700000003</v>
      </c>
    </row>
    <row r="113" spans="10:12">
      <c r="J113" s="83"/>
      <c r="L113" s="83"/>
    </row>
    <row r="114" spans="10:12">
      <c r="J114" s="83"/>
    </row>
  </sheetData>
  <autoFilter ref="A9:M111" xr:uid="{00000000-0009-0000-0000-000005000000}"/>
  <sortState xmlns:xlrd2="http://schemas.microsoft.com/office/spreadsheetml/2017/richdata2" ref="A10:M107">
    <sortCondition ref="C10:C107"/>
  </sortState>
  <mergeCells count="7">
    <mergeCell ref="O6:P6"/>
    <mergeCell ref="A6:M6"/>
    <mergeCell ref="A7:M7"/>
    <mergeCell ref="A8:M8"/>
    <mergeCell ref="A3:B3"/>
    <mergeCell ref="A4:B4"/>
    <mergeCell ref="A5:B5"/>
  </mergeCells>
  <dataValidations count="1">
    <dataValidation type="list" allowBlank="1" showInputMessage="1" showErrorMessage="1" sqref="B65:B66 E65:E66" xr:uid="{00000000-0002-0000-0500-000000000000}">
      <formula1>#REF!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0"/>
  <sheetViews>
    <sheetView workbookViewId="0">
      <selection activeCell="A9" sqref="A9"/>
    </sheetView>
  </sheetViews>
  <sheetFormatPr baseColWidth="10" defaultColWidth="11.44140625" defaultRowHeight="13.8"/>
  <cols>
    <col min="1" max="1" width="19.33203125" style="274" bestFit="1" customWidth="1"/>
    <col min="2" max="2" width="21" style="274" bestFit="1" customWidth="1"/>
    <col min="3" max="3" width="33.6640625" style="274" customWidth="1"/>
    <col min="4" max="4" width="35.5546875" style="274" customWidth="1"/>
    <col min="5" max="5" width="19.6640625" style="274" customWidth="1"/>
    <col min="6" max="6" width="9.88671875" style="274" customWidth="1"/>
    <col min="7" max="8" width="9.33203125" style="274" customWidth="1"/>
    <col min="9" max="12" width="14.109375" style="274" bestFit="1" customWidth="1"/>
    <col min="13" max="13" width="15.33203125" style="274" bestFit="1" customWidth="1"/>
    <col min="14" max="14" width="11.44140625" style="274"/>
    <col min="15" max="15" width="20.109375" style="274" bestFit="1" customWidth="1"/>
    <col min="16" max="16" width="12.88671875" style="274" bestFit="1" customWidth="1"/>
    <col min="17" max="16384" width="11.44140625" style="274"/>
  </cols>
  <sheetData>
    <row r="1" spans="1:16" ht="14.4" thickBot="1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6" ht="14.4" thickBot="1">
      <c r="A2" s="307" t="s">
        <v>0</v>
      </c>
      <c r="B2" s="307"/>
      <c r="C2" s="308" t="s">
        <v>1667</v>
      </c>
      <c r="D2" s="309"/>
      <c r="E2" s="309"/>
      <c r="F2" s="309"/>
      <c r="G2" s="309"/>
      <c r="H2" s="309"/>
      <c r="I2" s="309"/>
      <c r="J2" s="309"/>
      <c r="K2" s="309"/>
      <c r="L2" s="309"/>
      <c r="M2" s="310"/>
    </row>
    <row r="3" spans="1:16" ht="14.4" thickBot="1">
      <c r="A3" s="763" t="s">
        <v>2</v>
      </c>
      <c r="B3" s="764"/>
      <c r="C3" s="308" t="s">
        <v>612</v>
      </c>
      <c r="D3" s="309"/>
      <c r="E3" s="309"/>
      <c r="F3" s="309"/>
      <c r="G3" s="309"/>
      <c r="H3" s="309"/>
      <c r="I3" s="309"/>
      <c r="J3" s="309"/>
      <c r="K3" s="309"/>
      <c r="L3" s="309"/>
      <c r="M3" s="310"/>
    </row>
    <row r="4" spans="1:16" ht="14.4" thickBot="1">
      <c r="A4" s="765" t="s">
        <v>1666</v>
      </c>
      <c r="B4" s="766"/>
      <c r="C4" s="308">
        <v>23.5029</v>
      </c>
      <c r="D4" s="309"/>
      <c r="E4" s="309"/>
      <c r="F4" s="309"/>
      <c r="G4" s="309"/>
      <c r="H4" s="309"/>
      <c r="I4" s="309"/>
      <c r="J4" s="309"/>
      <c r="K4" s="309"/>
      <c r="L4" s="309"/>
      <c r="M4" s="310"/>
    </row>
    <row r="5" spans="1:16" ht="14.4" thickBot="1">
      <c r="A5" s="765" t="s">
        <v>1665</v>
      </c>
      <c r="B5" s="767"/>
      <c r="C5" s="768" t="s">
        <v>1664</v>
      </c>
      <c r="D5" s="769"/>
      <c r="E5" s="770"/>
      <c r="F5" s="771"/>
      <c r="G5" s="771"/>
      <c r="H5" s="771"/>
      <c r="I5" s="771"/>
      <c r="J5" s="771"/>
      <c r="K5" s="771"/>
      <c r="L5" s="771"/>
      <c r="M5" s="772"/>
    </row>
    <row r="6" spans="1:16" ht="14.4" thickBot="1">
      <c r="A6" s="758"/>
      <c r="B6" s="759"/>
      <c r="C6" s="773"/>
      <c r="D6" s="773"/>
      <c r="E6" s="773"/>
      <c r="F6" s="759"/>
      <c r="G6" s="759"/>
      <c r="H6" s="759"/>
      <c r="I6" s="759"/>
      <c r="J6" s="759"/>
      <c r="K6" s="759"/>
      <c r="L6" s="759"/>
      <c r="M6" s="760"/>
      <c r="O6" s="756" t="s">
        <v>1092</v>
      </c>
      <c r="P6" s="757"/>
    </row>
    <row r="7" spans="1:16" ht="14.4" thickBot="1">
      <c r="A7" s="758" t="s">
        <v>7</v>
      </c>
      <c r="B7" s="759"/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60"/>
    </row>
    <row r="8" spans="1:16">
      <c r="A8" s="761" t="s">
        <v>1663</v>
      </c>
      <c r="B8" s="762"/>
      <c r="C8" s="762"/>
      <c r="D8" s="762"/>
      <c r="E8" s="762"/>
      <c r="F8" s="762"/>
      <c r="G8" s="762"/>
      <c r="H8" s="762"/>
      <c r="I8" s="762"/>
      <c r="J8" s="762"/>
      <c r="K8" s="762"/>
      <c r="L8" s="762"/>
      <c r="M8" s="762"/>
      <c r="O8" s="311" t="s">
        <v>1090</v>
      </c>
      <c r="P8" s="312">
        <f>'BURNING COST'!F8</f>
        <v>721704</v>
      </c>
    </row>
    <row r="9" spans="1:16" ht="28.8">
      <c r="A9" s="278" t="s">
        <v>9</v>
      </c>
      <c r="B9" s="215" t="s">
        <v>10</v>
      </c>
      <c r="C9" s="215" t="s">
        <v>11</v>
      </c>
      <c r="D9" s="215" t="s">
        <v>12</v>
      </c>
      <c r="E9" s="279" t="s">
        <v>13</v>
      </c>
      <c r="F9" s="279" t="s">
        <v>14</v>
      </c>
      <c r="G9" s="279" t="s">
        <v>15</v>
      </c>
      <c r="H9" s="279" t="s">
        <v>16</v>
      </c>
      <c r="I9" s="278" t="s">
        <v>17</v>
      </c>
      <c r="J9" s="279" t="s">
        <v>18</v>
      </c>
      <c r="K9" s="215" t="s">
        <v>19</v>
      </c>
      <c r="L9" s="215" t="s">
        <v>20</v>
      </c>
      <c r="M9" s="215" t="s">
        <v>21</v>
      </c>
      <c r="N9" s="72"/>
      <c r="O9" s="259" t="s">
        <v>1091</v>
      </c>
    </row>
    <row r="10" spans="1:16" ht="14.4">
      <c r="A10" s="280" t="s">
        <v>1800</v>
      </c>
      <c r="B10" s="281" t="s">
        <v>23</v>
      </c>
      <c r="C10" s="282" t="s">
        <v>1801</v>
      </c>
      <c r="D10" s="281" t="s">
        <v>26</v>
      </c>
      <c r="E10" s="281" t="s">
        <v>26</v>
      </c>
      <c r="F10" s="283">
        <v>42689</v>
      </c>
      <c r="G10" s="283">
        <v>42748</v>
      </c>
      <c r="H10" s="283">
        <v>42753</v>
      </c>
      <c r="I10" s="284">
        <v>169211.34</v>
      </c>
      <c r="J10" s="284"/>
      <c r="K10" s="284"/>
      <c r="L10" s="285"/>
      <c r="M10" s="286"/>
      <c r="N10" s="72"/>
      <c r="O10" s="261">
        <f>IF($J10&gt;P$8,$J10-P$8,0)</f>
        <v>0</v>
      </c>
    </row>
    <row r="11" spans="1:16" ht="14.4">
      <c r="A11" s="280" t="s">
        <v>1802</v>
      </c>
      <c r="B11" s="281" t="s">
        <v>28</v>
      </c>
      <c r="C11" s="282" t="s">
        <v>1801</v>
      </c>
      <c r="D11" s="281" t="s">
        <v>26</v>
      </c>
      <c r="E11" s="281" t="s">
        <v>26</v>
      </c>
      <c r="F11" s="283">
        <v>42689</v>
      </c>
      <c r="G11" s="283">
        <v>42748</v>
      </c>
      <c r="H11" s="283">
        <v>42753</v>
      </c>
      <c r="I11" s="284">
        <v>63101.94</v>
      </c>
      <c r="J11" s="284"/>
      <c r="K11" s="284"/>
      <c r="L11" s="285"/>
      <c r="M11" s="286"/>
      <c r="N11" s="72"/>
      <c r="O11" s="261">
        <f t="shared" ref="O11:O74" si="0">IF($J11&gt;P$8,$J11-P$8,0)</f>
        <v>0</v>
      </c>
    </row>
    <row r="12" spans="1:16" ht="14.4">
      <c r="A12" s="280" t="s">
        <v>1803</v>
      </c>
      <c r="B12" s="287" t="s">
        <v>93</v>
      </c>
      <c r="C12" s="282" t="s">
        <v>1801</v>
      </c>
      <c r="D12" s="281" t="s">
        <v>26</v>
      </c>
      <c r="E12" s="281" t="s">
        <v>26</v>
      </c>
      <c r="F12" s="283">
        <v>42689</v>
      </c>
      <c r="G12" s="283">
        <v>42748</v>
      </c>
      <c r="H12" s="283">
        <v>42753</v>
      </c>
      <c r="I12" s="284">
        <v>707000</v>
      </c>
      <c r="J12" s="284">
        <f>SUM(I10:I12)</f>
        <v>939313.28</v>
      </c>
      <c r="K12" s="284">
        <v>310000</v>
      </c>
      <c r="L12" s="284">
        <f>+J12-K12</f>
        <v>629313.28000000003</v>
      </c>
      <c r="M12" s="286"/>
      <c r="N12" s="72"/>
      <c r="O12" s="261">
        <f>IF($J12&gt;P$8,$J12-P$8,0)</f>
        <v>217609.28000000003</v>
      </c>
    </row>
    <row r="13" spans="1:16" ht="14.4">
      <c r="A13" s="280" t="s">
        <v>1843</v>
      </c>
      <c r="B13" s="287" t="s">
        <v>174</v>
      </c>
      <c r="C13" s="282" t="s">
        <v>1844</v>
      </c>
      <c r="D13" s="281" t="s">
        <v>209</v>
      </c>
      <c r="E13" s="281" t="s">
        <v>33</v>
      </c>
      <c r="F13" s="283">
        <v>42689</v>
      </c>
      <c r="G13" s="283">
        <v>42741</v>
      </c>
      <c r="H13" s="283">
        <v>42829</v>
      </c>
      <c r="I13" s="284">
        <v>294376.92000000004</v>
      </c>
      <c r="J13" s="284"/>
      <c r="K13" s="284"/>
      <c r="L13" s="284"/>
      <c r="M13" s="286"/>
      <c r="N13" s="72"/>
      <c r="O13" s="261">
        <f t="shared" si="0"/>
        <v>0</v>
      </c>
    </row>
    <row r="14" spans="1:16" ht="14.4">
      <c r="A14" s="280" t="s">
        <v>1845</v>
      </c>
      <c r="B14" s="287" t="s">
        <v>23</v>
      </c>
      <c r="C14" s="282" t="s">
        <v>1844</v>
      </c>
      <c r="D14" s="281" t="s">
        <v>209</v>
      </c>
      <c r="E14" s="281" t="s">
        <v>33</v>
      </c>
      <c r="F14" s="283">
        <v>42689</v>
      </c>
      <c r="G14" s="283">
        <v>42741</v>
      </c>
      <c r="H14" s="283">
        <v>42774</v>
      </c>
      <c r="I14" s="284">
        <v>32173.98</v>
      </c>
      <c r="J14" s="284"/>
      <c r="K14" s="284"/>
      <c r="L14" s="284"/>
      <c r="M14" s="286"/>
      <c r="N14" s="72"/>
      <c r="O14" s="261">
        <f t="shared" si="0"/>
        <v>0</v>
      </c>
    </row>
    <row r="15" spans="1:16" ht="14.4">
      <c r="A15" s="280" t="s">
        <v>1843</v>
      </c>
      <c r="B15" s="287" t="s">
        <v>28</v>
      </c>
      <c r="C15" s="282" t="s">
        <v>1844</v>
      </c>
      <c r="D15" s="281" t="s">
        <v>209</v>
      </c>
      <c r="E15" s="281" t="s">
        <v>33</v>
      </c>
      <c r="F15" s="283">
        <v>42689</v>
      </c>
      <c r="G15" s="283">
        <v>42741</v>
      </c>
      <c r="H15" s="283">
        <v>42829</v>
      </c>
      <c r="I15" s="284">
        <v>6000</v>
      </c>
      <c r="J15" s="284">
        <f>+I15+I14+I13</f>
        <v>332550.90000000002</v>
      </c>
      <c r="K15" s="284">
        <v>310000</v>
      </c>
      <c r="L15" s="284">
        <f>+J15-K15</f>
        <v>22550.900000000023</v>
      </c>
      <c r="M15" s="286"/>
      <c r="N15" s="72"/>
      <c r="O15" s="261">
        <f t="shared" si="0"/>
        <v>0</v>
      </c>
    </row>
    <row r="16" spans="1:16" ht="14.4">
      <c r="A16" s="280" t="s">
        <v>1804</v>
      </c>
      <c r="B16" s="287" t="s">
        <v>174</v>
      </c>
      <c r="C16" s="282" t="s">
        <v>1805</v>
      </c>
      <c r="D16" s="281" t="s">
        <v>1806</v>
      </c>
      <c r="E16" s="281" t="s">
        <v>1375</v>
      </c>
      <c r="F16" s="283">
        <v>42409</v>
      </c>
      <c r="G16" s="283">
        <v>42678</v>
      </c>
      <c r="H16" s="283">
        <v>42760</v>
      </c>
      <c r="I16" s="284">
        <v>788783.56</v>
      </c>
      <c r="J16" s="284"/>
      <c r="K16" s="284"/>
      <c r="L16" s="284"/>
      <c r="M16" s="286"/>
      <c r="N16" s="72"/>
      <c r="O16" s="261">
        <f t="shared" si="0"/>
        <v>0</v>
      </c>
    </row>
    <row r="17" spans="1:15" ht="14.4">
      <c r="A17" s="280" t="s">
        <v>1807</v>
      </c>
      <c r="B17" s="287" t="s">
        <v>174</v>
      </c>
      <c r="C17" s="282" t="s">
        <v>1805</v>
      </c>
      <c r="D17" s="281" t="s">
        <v>1806</v>
      </c>
      <c r="E17" s="281" t="s">
        <v>1375</v>
      </c>
      <c r="F17" s="283">
        <v>42409</v>
      </c>
      <c r="G17" s="283">
        <v>42678</v>
      </c>
      <c r="H17" s="283">
        <v>42760</v>
      </c>
      <c r="I17" s="284">
        <v>500000</v>
      </c>
      <c r="J17" s="284"/>
      <c r="K17" s="284"/>
      <c r="L17" s="285"/>
      <c r="M17" s="286"/>
      <c r="N17" s="72"/>
      <c r="O17" s="261">
        <f t="shared" si="0"/>
        <v>0</v>
      </c>
    </row>
    <row r="18" spans="1:15" ht="14.4">
      <c r="A18" s="280" t="s">
        <v>1808</v>
      </c>
      <c r="B18" s="287" t="s">
        <v>36</v>
      </c>
      <c r="C18" s="282" t="s">
        <v>1805</v>
      </c>
      <c r="D18" s="281" t="s">
        <v>1806</v>
      </c>
      <c r="E18" s="281" t="s">
        <v>1375</v>
      </c>
      <c r="F18" s="283">
        <v>42409</v>
      </c>
      <c r="G18" s="283">
        <v>42678</v>
      </c>
      <c r="H18" s="283">
        <v>42760</v>
      </c>
      <c r="I18" s="284">
        <v>152881.78</v>
      </c>
      <c r="J18" s="284">
        <f>+I18+I17+I16</f>
        <v>1441665.34</v>
      </c>
      <c r="K18" s="284">
        <v>310000</v>
      </c>
      <c r="L18" s="285">
        <f>+J18-K18</f>
        <v>1131665.3400000001</v>
      </c>
      <c r="M18" s="286"/>
      <c r="N18" s="72"/>
      <c r="O18" s="261">
        <f>IF($J18&gt;P$8,$J18-P$8,0)</f>
        <v>719961.34000000008</v>
      </c>
    </row>
    <row r="19" spans="1:15" ht="14.4">
      <c r="A19" s="280" t="s">
        <v>1659</v>
      </c>
      <c r="B19" s="287" t="s">
        <v>23</v>
      </c>
      <c r="C19" s="282" t="s">
        <v>1657</v>
      </c>
      <c r="D19" s="281" t="s">
        <v>773</v>
      </c>
      <c r="E19" s="281" t="s">
        <v>33</v>
      </c>
      <c r="F19" s="283">
        <v>42403</v>
      </c>
      <c r="G19" s="283">
        <v>42492</v>
      </c>
      <c r="H19" s="283">
        <v>42502</v>
      </c>
      <c r="I19" s="284">
        <v>105000</v>
      </c>
      <c r="J19" s="284"/>
      <c r="K19" s="284"/>
      <c r="L19" s="285"/>
      <c r="M19" s="286"/>
      <c r="N19" s="72"/>
      <c r="O19" s="261">
        <f t="shared" si="0"/>
        <v>0</v>
      </c>
    </row>
    <row r="20" spans="1:15" ht="14.4">
      <c r="A20" s="280" t="s">
        <v>1658</v>
      </c>
      <c r="B20" s="287" t="s">
        <v>28</v>
      </c>
      <c r="C20" s="282" t="s">
        <v>1657</v>
      </c>
      <c r="D20" s="281" t="s">
        <v>773</v>
      </c>
      <c r="E20" s="281" t="s">
        <v>33</v>
      </c>
      <c r="F20" s="283">
        <v>42403</v>
      </c>
      <c r="G20" s="283">
        <v>42492</v>
      </c>
      <c r="H20" s="283">
        <v>42502</v>
      </c>
      <c r="I20" s="284">
        <v>341553</v>
      </c>
      <c r="J20" s="284">
        <f>+I20+I19</f>
        <v>446553</v>
      </c>
      <c r="K20" s="284">
        <v>310000</v>
      </c>
      <c r="L20" s="285">
        <f>+J20-K20</f>
        <v>136553</v>
      </c>
      <c r="M20" s="286"/>
      <c r="N20" s="72"/>
      <c r="O20" s="261">
        <f t="shared" si="0"/>
        <v>0</v>
      </c>
    </row>
    <row r="21" spans="1:15" ht="14.4">
      <c r="A21" s="280" t="s">
        <v>1809</v>
      </c>
      <c r="B21" s="287" t="s">
        <v>245</v>
      </c>
      <c r="C21" s="282" t="s">
        <v>1810</v>
      </c>
      <c r="D21" s="281" t="s">
        <v>38</v>
      </c>
      <c r="E21" s="281" t="s">
        <v>33</v>
      </c>
      <c r="F21" s="283">
        <v>42665</v>
      </c>
      <c r="G21" s="283">
        <v>42724</v>
      </c>
      <c r="H21" s="283">
        <v>42744</v>
      </c>
      <c r="I21" s="284">
        <v>1680147</v>
      </c>
      <c r="J21" s="284"/>
      <c r="K21" s="284"/>
      <c r="L21" s="285"/>
      <c r="M21" s="286"/>
      <c r="N21" s="72"/>
      <c r="O21" s="261">
        <f t="shared" si="0"/>
        <v>0</v>
      </c>
    </row>
    <row r="22" spans="1:15" ht="14.4">
      <c r="A22" s="280" t="s">
        <v>1811</v>
      </c>
      <c r="B22" s="287" t="s">
        <v>36</v>
      </c>
      <c r="C22" s="282" t="s">
        <v>1810</v>
      </c>
      <c r="D22" s="281" t="s">
        <v>38</v>
      </c>
      <c r="E22" s="281" t="s">
        <v>33</v>
      </c>
      <c r="F22" s="283">
        <v>42665</v>
      </c>
      <c r="G22" s="283">
        <v>42724</v>
      </c>
      <c r="H22" s="283">
        <v>42747</v>
      </c>
      <c r="I22" s="284">
        <v>2800000</v>
      </c>
      <c r="J22" s="284"/>
      <c r="K22" s="284"/>
      <c r="L22" s="285"/>
      <c r="M22" s="286"/>
      <c r="N22" s="72"/>
      <c r="O22" s="261">
        <f t="shared" si="0"/>
        <v>0</v>
      </c>
    </row>
    <row r="23" spans="1:15" ht="14.4">
      <c r="A23" s="280" t="s">
        <v>1812</v>
      </c>
      <c r="B23" s="287" t="s">
        <v>28</v>
      </c>
      <c r="C23" s="282" t="s">
        <v>1810</v>
      </c>
      <c r="D23" s="281" t="s">
        <v>38</v>
      </c>
      <c r="E23" s="281" t="s">
        <v>33</v>
      </c>
      <c r="F23" s="283">
        <v>42665</v>
      </c>
      <c r="G23" s="283">
        <v>42724</v>
      </c>
      <c r="H23" s="283">
        <v>42767</v>
      </c>
      <c r="I23" s="284">
        <v>4700000</v>
      </c>
      <c r="J23" s="284">
        <f>+I23+I22+I21</f>
        <v>9180147</v>
      </c>
      <c r="K23" s="284">
        <v>310000</v>
      </c>
      <c r="L23" s="285">
        <f>+J23-K23</f>
        <v>8870147</v>
      </c>
      <c r="M23" s="286"/>
      <c r="N23" s="72"/>
      <c r="O23" s="261">
        <f>IF($J23&gt;P$8,$J23-P$8,0)</f>
        <v>8458443</v>
      </c>
    </row>
    <row r="24" spans="1:15" ht="14.4">
      <c r="A24" s="280" t="s">
        <v>1813</v>
      </c>
      <c r="B24" s="287" t="s">
        <v>23</v>
      </c>
      <c r="C24" s="282" t="s">
        <v>1814</v>
      </c>
      <c r="D24" s="281" t="s">
        <v>84</v>
      </c>
      <c r="E24" s="281" t="s">
        <v>33</v>
      </c>
      <c r="F24" s="283">
        <v>42696</v>
      </c>
      <c r="G24" s="283">
        <v>42730</v>
      </c>
      <c r="H24" s="283">
        <v>42731</v>
      </c>
      <c r="I24" s="284">
        <v>51613.16</v>
      </c>
      <c r="J24" s="284"/>
      <c r="K24" s="284"/>
      <c r="L24" s="285"/>
      <c r="M24" s="286"/>
      <c r="N24" s="72"/>
      <c r="O24" s="261">
        <f t="shared" si="0"/>
        <v>0</v>
      </c>
    </row>
    <row r="25" spans="1:15" ht="14.4">
      <c r="A25" s="280" t="s">
        <v>1815</v>
      </c>
      <c r="B25" s="281" t="s">
        <v>28</v>
      </c>
      <c r="C25" s="282" t="s">
        <v>1814</v>
      </c>
      <c r="D25" s="281" t="s">
        <v>84</v>
      </c>
      <c r="E25" s="281" t="s">
        <v>33</v>
      </c>
      <c r="F25" s="283">
        <v>42696</v>
      </c>
      <c r="G25" s="283">
        <v>42730</v>
      </c>
      <c r="H25" s="283">
        <v>42758</v>
      </c>
      <c r="I25" s="284">
        <v>352603.79000000004</v>
      </c>
      <c r="J25" s="284"/>
      <c r="K25" s="284"/>
      <c r="L25" s="285"/>
      <c r="M25" s="286"/>
      <c r="N25" s="72"/>
      <c r="O25" s="261">
        <f t="shared" si="0"/>
        <v>0</v>
      </c>
    </row>
    <row r="26" spans="1:15" ht="14.4">
      <c r="A26" s="280" t="s">
        <v>1816</v>
      </c>
      <c r="B26" s="281" t="s">
        <v>50</v>
      </c>
      <c r="C26" s="282" t="s">
        <v>1814</v>
      </c>
      <c r="D26" s="281" t="s">
        <v>84</v>
      </c>
      <c r="E26" s="281" t="s">
        <v>33</v>
      </c>
      <c r="F26" s="283">
        <v>42696</v>
      </c>
      <c r="G26" s="283">
        <v>42730</v>
      </c>
      <c r="H26" s="283">
        <v>42731</v>
      </c>
      <c r="I26" s="284">
        <v>7000</v>
      </c>
      <c r="J26" s="284"/>
      <c r="K26" s="284"/>
      <c r="L26" s="285"/>
      <c r="M26" s="286"/>
      <c r="N26" s="72"/>
      <c r="O26" s="261">
        <f t="shared" si="0"/>
        <v>0</v>
      </c>
    </row>
    <row r="27" spans="1:15" ht="14.4">
      <c r="A27" s="280" t="s">
        <v>1815</v>
      </c>
      <c r="B27" s="287" t="s">
        <v>28</v>
      </c>
      <c r="C27" s="282" t="s">
        <v>1814</v>
      </c>
      <c r="D27" s="281" t="s">
        <v>84</v>
      </c>
      <c r="E27" s="281" t="s">
        <v>33</v>
      </c>
      <c r="F27" s="283">
        <v>42696</v>
      </c>
      <c r="G27" s="283">
        <v>42730</v>
      </c>
      <c r="H27" s="283">
        <v>42758</v>
      </c>
      <c r="I27" s="284">
        <v>6000</v>
      </c>
      <c r="J27" s="284">
        <f>SUM(I24:I27)</f>
        <v>417216.95000000007</v>
      </c>
      <c r="K27" s="284">
        <v>310000</v>
      </c>
      <c r="L27" s="284">
        <f>+J27-K27</f>
        <v>107216.95000000007</v>
      </c>
      <c r="M27" s="286"/>
      <c r="N27" s="72"/>
      <c r="O27" s="261">
        <f t="shared" si="0"/>
        <v>0</v>
      </c>
    </row>
    <row r="28" spans="1:15" ht="14.4">
      <c r="A28" s="280" t="s">
        <v>1757</v>
      </c>
      <c r="B28" s="287" t="s">
        <v>23</v>
      </c>
      <c r="C28" s="282" t="s">
        <v>1758</v>
      </c>
      <c r="D28" s="281" t="s">
        <v>54</v>
      </c>
      <c r="E28" s="281" t="s">
        <v>33</v>
      </c>
      <c r="F28" s="283">
        <v>42550</v>
      </c>
      <c r="G28" s="283">
        <v>42720</v>
      </c>
      <c r="H28" s="283">
        <v>42724</v>
      </c>
      <c r="I28" s="284">
        <v>236063.61</v>
      </c>
      <c r="J28" s="284"/>
      <c r="K28" s="284"/>
      <c r="L28" s="284"/>
      <c r="M28" s="286"/>
      <c r="N28" s="72"/>
      <c r="O28" s="261">
        <f t="shared" si="0"/>
        <v>0</v>
      </c>
    </row>
    <row r="29" spans="1:15" ht="14.4">
      <c r="A29" s="280" t="s">
        <v>1759</v>
      </c>
      <c r="B29" s="287" t="s">
        <v>28</v>
      </c>
      <c r="C29" s="282" t="s">
        <v>1758</v>
      </c>
      <c r="D29" s="281" t="s">
        <v>54</v>
      </c>
      <c r="E29" s="281" t="s">
        <v>33</v>
      </c>
      <c r="F29" s="283">
        <v>42550</v>
      </c>
      <c r="G29" s="283">
        <v>42720</v>
      </c>
      <c r="H29" s="283">
        <v>42724</v>
      </c>
      <c r="I29" s="284">
        <v>783515.85</v>
      </c>
      <c r="J29" s="284">
        <f>+I29+I28</f>
        <v>1019579.46</v>
      </c>
      <c r="K29" s="284">
        <v>310000</v>
      </c>
      <c r="L29" s="284">
        <f>+J29-K29</f>
        <v>709579.46</v>
      </c>
      <c r="M29" s="286"/>
      <c r="N29" s="72"/>
      <c r="O29" s="261">
        <f t="shared" si="0"/>
        <v>297875.45999999996</v>
      </c>
    </row>
    <row r="30" spans="1:15" ht="14.4">
      <c r="A30" s="280" t="s">
        <v>1817</v>
      </c>
      <c r="B30" s="287" t="s">
        <v>30</v>
      </c>
      <c r="C30" s="282" t="s">
        <v>1818</v>
      </c>
      <c r="D30" s="281" t="s">
        <v>1819</v>
      </c>
      <c r="E30" s="281" t="s">
        <v>33</v>
      </c>
      <c r="F30" s="283">
        <v>42706</v>
      </c>
      <c r="G30" s="283">
        <v>42759</v>
      </c>
      <c r="H30" s="283">
        <v>42761</v>
      </c>
      <c r="I30" s="284">
        <v>103000</v>
      </c>
      <c r="J30" s="284"/>
      <c r="K30" s="284"/>
      <c r="L30" s="285"/>
      <c r="M30" s="286"/>
      <c r="N30" s="72"/>
      <c r="O30" s="261">
        <f t="shared" si="0"/>
        <v>0</v>
      </c>
    </row>
    <row r="31" spans="1:15" ht="14.4">
      <c r="A31" s="280" t="s">
        <v>1820</v>
      </c>
      <c r="B31" s="281" t="s">
        <v>28</v>
      </c>
      <c r="C31" s="282" t="s">
        <v>1818</v>
      </c>
      <c r="D31" s="281" t="s">
        <v>1819</v>
      </c>
      <c r="E31" s="281" t="s">
        <v>33</v>
      </c>
      <c r="F31" s="283">
        <v>42706</v>
      </c>
      <c r="G31" s="283">
        <v>42759</v>
      </c>
      <c r="H31" s="283">
        <v>42761</v>
      </c>
      <c r="I31" s="284">
        <v>609029.26</v>
      </c>
      <c r="J31" s="284">
        <f>+I31+I30</f>
        <v>712029.26</v>
      </c>
      <c r="K31" s="284">
        <v>310000</v>
      </c>
      <c r="L31" s="285">
        <f>+J31-K31</f>
        <v>402029.26</v>
      </c>
      <c r="M31" s="286"/>
      <c r="N31" s="72"/>
      <c r="O31" s="261">
        <f t="shared" si="0"/>
        <v>0</v>
      </c>
    </row>
    <row r="32" spans="1:15" ht="14.4">
      <c r="A32" s="280" t="s">
        <v>1760</v>
      </c>
      <c r="B32" s="287" t="s">
        <v>30</v>
      </c>
      <c r="C32" s="282" t="s">
        <v>1761</v>
      </c>
      <c r="D32" s="281" t="s">
        <v>1762</v>
      </c>
      <c r="E32" s="281" t="s">
        <v>33</v>
      </c>
      <c r="F32" s="283">
        <v>42516</v>
      </c>
      <c r="G32" s="283">
        <v>42572</v>
      </c>
      <c r="H32" s="283">
        <v>42598</v>
      </c>
      <c r="I32" s="284">
        <v>14416.65</v>
      </c>
      <c r="J32" s="284"/>
      <c r="K32" s="284"/>
      <c r="L32" s="285"/>
      <c r="M32" s="286"/>
      <c r="N32" s="72"/>
      <c r="O32" s="261">
        <f t="shared" si="0"/>
        <v>0</v>
      </c>
    </row>
    <row r="33" spans="1:15" ht="14.4">
      <c r="A33" s="280" t="s">
        <v>1763</v>
      </c>
      <c r="B33" s="281" t="s">
        <v>28</v>
      </c>
      <c r="C33" s="282" t="s">
        <v>1761</v>
      </c>
      <c r="D33" s="281" t="s">
        <v>1762</v>
      </c>
      <c r="E33" s="281" t="s">
        <v>33</v>
      </c>
      <c r="F33" s="283">
        <v>42516</v>
      </c>
      <c r="G33" s="283">
        <v>42572</v>
      </c>
      <c r="H33" s="283">
        <v>42598</v>
      </c>
      <c r="I33" s="284">
        <v>23540.61</v>
      </c>
      <c r="J33" s="284"/>
      <c r="K33" s="284"/>
      <c r="L33" s="285"/>
      <c r="M33" s="286"/>
      <c r="N33" s="72"/>
      <c r="O33" s="261">
        <f t="shared" si="0"/>
        <v>0</v>
      </c>
    </row>
    <row r="34" spans="1:15" ht="14.4">
      <c r="A34" s="280" t="s">
        <v>1764</v>
      </c>
      <c r="B34" s="281" t="s">
        <v>50</v>
      </c>
      <c r="C34" s="282" t="s">
        <v>1761</v>
      </c>
      <c r="D34" s="281" t="s">
        <v>1255</v>
      </c>
      <c r="E34" s="281" t="s">
        <v>33</v>
      </c>
      <c r="F34" s="283">
        <v>42516</v>
      </c>
      <c r="G34" s="283">
        <v>42668</v>
      </c>
      <c r="H34" s="283">
        <v>42671</v>
      </c>
      <c r="I34" s="284">
        <v>7000</v>
      </c>
      <c r="J34" s="284"/>
      <c r="K34" s="284"/>
      <c r="L34" s="285"/>
      <c r="M34" s="286"/>
      <c r="N34" s="72"/>
      <c r="O34" s="261">
        <f t="shared" si="0"/>
        <v>0</v>
      </c>
    </row>
    <row r="35" spans="1:15" ht="14.4">
      <c r="A35" s="282" t="s">
        <v>1765</v>
      </c>
      <c r="B35" s="281" t="s">
        <v>28</v>
      </c>
      <c r="C35" s="282" t="s">
        <v>1761</v>
      </c>
      <c r="D35" s="281" t="s">
        <v>1255</v>
      </c>
      <c r="E35" s="281" t="s">
        <v>33</v>
      </c>
      <c r="F35" s="288">
        <v>42516</v>
      </c>
      <c r="G35" s="288">
        <v>42668</v>
      </c>
      <c r="H35" s="288">
        <v>42671</v>
      </c>
      <c r="I35" s="289">
        <v>277325.40999999997</v>
      </c>
      <c r="J35" s="289"/>
      <c r="K35" s="284"/>
      <c r="L35" s="285"/>
      <c r="M35" s="286"/>
      <c r="N35" s="72"/>
      <c r="O35" s="261">
        <f t="shared" si="0"/>
        <v>0</v>
      </c>
    </row>
    <row r="36" spans="1:15" ht="14.4">
      <c r="A36" s="280" t="s">
        <v>1766</v>
      </c>
      <c r="B36" s="287" t="s">
        <v>23</v>
      </c>
      <c r="C36" s="282" t="s">
        <v>1761</v>
      </c>
      <c r="D36" s="281" t="s">
        <v>1255</v>
      </c>
      <c r="E36" s="281" t="s">
        <v>33</v>
      </c>
      <c r="F36" s="283">
        <v>42516</v>
      </c>
      <c r="G36" s="283">
        <v>42668</v>
      </c>
      <c r="H36" s="283">
        <v>42671</v>
      </c>
      <c r="I36" s="284">
        <v>22183.13</v>
      </c>
      <c r="J36" s="284">
        <f>SUM(I32:I36)</f>
        <v>344465.8</v>
      </c>
      <c r="K36" s="284">
        <v>310000</v>
      </c>
      <c r="L36" s="284">
        <f>+J36-K36</f>
        <v>34465.799999999988</v>
      </c>
      <c r="M36" s="286"/>
      <c r="N36" s="72"/>
      <c r="O36" s="261">
        <f t="shared" si="0"/>
        <v>0</v>
      </c>
    </row>
    <row r="37" spans="1:15" ht="14.4">
      <c r="A37" s="280" t="s">
        <v>1617</v>
      </c>
      <c r="B37" s="287" t="s">
        <v>23</v>
      </c>
      <c r="C37" s="282" t="s">
        <v>1615</v>
      </c>
      <c r="D37" s="281" t="s">
        <v>69</v>
      </c>
      <c r="E37" s="281" t="s">
        <v>33</v>
      </c>
      <c r="F37" s="283">
        <v>42478</v>
      </c>
      <c r="G37" s="283">
        <v>42551</v>
      </c>
      <c r="H37" s="283">
        <v>42576</v>
      </c>
      <c r="I37" s="284">
        <v>305000</v>
      </c>
      <c r="J37" s="284"/>
      <c r="K37" s="284"/>
      <c r="L37" s="284"/>
      <c r="M37" s="286"/>
      <c r="N37" s="72"/>
      <c r="O37" s="261">
        <f t="shared" si="0"/>
        <v>0</v>
      </c>
    </row>
    <row r="38" spans="1:15" ht="14.4">
      <c r="A38" s="280" t="s">
        <v>1616</v>
      </c>
      <c r="B38" s="287" t="s">
        <v>28</v>
      </c>
      <c r="C38" s="282" t="s">
        <v>1615</v>
      </c>
      <c r="D38" s="281" t="s">
        <v>69</v>
      </c>
      <c r="E38" s="281" t="s">
        <v>33</v>
      </c>
      <c r="F38" s="283">
        <v>42478</v>
      </c>
      <c r="G38" s="283">
        <v>42551</v>
      </c>
      <c r="H38" s="283">
        <v>42576</v>
      </c>
      <c r="I38" s="284">
        <v>1558207.43</v>
      </c>
      <c r="J38" s="284">
        <f>+I38+I37</f>
        <v>1863207.43</v>
      </c>
      <c r="K38" s="284">
        <v>310000</v>
      </c>
      <c r="L38" s="285">
        <f>+J38-K38</f>
        <v>1553207.43</v>
      </c>
      <c r="M38" s="286"/>
      <c r="N38" s="72"/>
      <c r="O38" s="261">
        <f t="shared" si="0"/>
        <v>1141503.43</v>
      </c>
    </row>
    <row r="39" spans="1:15" ht="14.4">
      <c r="A39" s="280" t="s">
        <v>1767</v>
      </c>
      <c r="B39" s="281" t="s">
        <v>23</v>
      </c>
      <c r="C39" s="282" t="s">
        <v>1768</v>
      </c>
      <c r="D39" s="281" t="s">
        <v>1769</v>
      </c>
      <c r="E39" s="281" t="s">
        <v>33</v>
      </c>
      <c r="F39" s="283">
        <v>42482</v>
      </c>
      <c r="G39" s="283">
        <v>42647</v>
      </c>
      <c r="H39" s="283">
        <v>42726</v>
      </c>
      <c r="I39" s="284">
        <v>4046.26</v>
      </c>
      <c r="J39" s="284"/>
      <c r="K39" s="284"/>
      <c r="L39" s="285"/>
      <c r="M39" s="286"/>
      <c r="N39" s="72"/>
      <c r="O39" s="261">
        <f t="shared" si="0"/>
        <v>0</v>
      </c>
    </row>
    <row r="40" spans="1:15" ht="14.4">
      <c r="A40" s="280" t="s">
        <v>1770</v>
      </c>
      <c r="B40" s="287" t="s">
        <v>174</v>
      </c>
      <c r="C40" s="282" t="s">
        <v>1768</v>
      </c>
      <c r="D40" s="281" t="s">
        <v>1769</v>
      </c>
      <c r="E40" s="281" t="s">
        <v>33</v>
      </c>
      <c r="F40" s="283">
        <v>42482</v>
      </c>
      <c r="G40" s="283">
        <v>42647</v>
      </c>
      <c r="H40" s="283">
        <v>42726</v>
      </c>
      <c r="I40" s="284">
        <v>403821.66</v>
      </c>
      <c r="J40" s="284"/>
      <c r="K40" s="284"/>
      <c r="L40" s="285"/>
      <c r="M40" s="286"/>
      <c r="N40" s="72"/>
      <c r="O40" s="261">
        <f t="shared" si="0"/>
        <v>0</v>
      </c>
    </row>
    <row r="41" spans="1:15" ht="14.4">
      <c r="A41" s="280" t="s">
        <v>1771</v>
      </c>
      <c r="B41" s="281" t="s">
        <v>250</v>
      </c>
      <c r="C41" s="282" t="s">
        <v>1768</v>
      </c>
      <c r="D41" s="281" t="s">
        <v>1769</v>
      </c>
      <c r="E41" s="281" t="s">
        <v>33</v>
      </c>
      <c r="F41" s="283">
        <v>42482</v>
      </c>
      <c r="G41" s="283">
        <v>42647</v>
      </c>
      <c r="H41" s="283">
        <v>42726</v>
      </c>
      <c r="I41" s="284">
        <v>7000</v>
      </c>
      <c r="J41" s="284">
        <f>+I41+I40+I39</f>
        <v>414867.92</v>
      </c>
      <c r="K41" s="284">
        <v>310000</v>
      </c>
      <c r="L41" s="285">
        <f>+J41-K41</f>
        <v>104867.91999999998</v>
      </c>
      <c r="M41" s="286"/>
      <c r="N41" s="72"/>
      <c r="O41" s="261">
        <f t="shared" si="0"/>
        <v>0</v>
      </c>
    </row>
    <row r="42" spans="1:15" ht="14.4">
      <c r="A42" s="280" t="s">
        <v>1614</v>
      </c>
      <c r="B42" s="281" t="s">
        <v>23</v>
      </c>
      <c r="C42" s="282" t="s">
        <v>1612</v>
      </c>
      <c r="D42" s="281" t="s">
        <v>25</v>
      </c>
      <c r="E42" s="281" t="s">
        <v>26</v>
      </c>
      <c r="F42" s="283">
        <v>42437</v>
      </c>
      <c r="G42" s="283">
        <v>42570</v>
      </c>
      <c r="H42" s="283">
        <v>42601</v>
      </c>
      <c r="I42" s="284">
        <v>145052.35999999999</v>
      </c>
      <c r="J42" s="284"/>
      <c r="K42" s="284"/>
      <c r="L42" s="285"/>
      <c r="M42" s="286"/>
      <c r="N42" s="72"/>
      <c r="O42" s="261">
        <f t="shared" si="0"/>
        <v>0</v>
      </c>
    </row>
    <row r="43" spans="1:15" ht="14.4">
      <c r="A43" s="282" t="s">
        <v>1613</v>
      </c>
      <c r="B43" s="281" t="s">
        <v>28</v>
      </c>
      <c r="C43" s="282" t="s">
        <v>1612</v>
      </c>
      <c r="D43" s="281" t="s">
        <v>25</v>
      </c>
      <c r="E43" s="281" t="s">
        <v>26</v>
      </c>
      <c r="F43" s="288">
        <v>42437</v>
      </c>
      <c r="G43" s="288">
        <v>42570</v>
      </c>
      <c r="H43" s="288">
        <v>42601</v>
      </c>
      <c r="I43" s="289">
        <v>294199.08</v>
      </c>
      <c r="J43" s="289">
        <f>+I43+I42</f>
        <v>439251.44</v>
      </c>
      <c r="K43" s="284">
        <v>310000</v>
      </c>
      <c r="L43" s="285">
        <f>+J43-K43</f>
        <v>129251.44</v>
      </c>
      <c r="M43" s="286"/>
      <c r="N43" s="72"/>
      <c r="O43" s="261">
        <f t="shared" si="0"/>
        <v>0</v>
      </c>
    </row>
    <row r="44" spans="1:15" ht="14.4">
      <c r="A44" s="282" t="s">
        <v>1611</v>
      </c>
      <c r="B44" s="287" t="s">
        <v>245</v>
      </c>
      <c r="C44" s="282" t="s">
        <v>1606</v>
      </c>
      <c r="D44" s="281" t="s">
        <v>778</v>
      </c>
      <c r="E44" s="281" t="s">
        <v>33</v>
      </c>
      <c r="F44" s="288">
        <v>42537</v>
      </c>
      <c r="G44" s="288">
        <v>42566</v>
      </c>
      <c r="H44" s="288">
        <v>42578</v>
      </c>
      <c r="I44" s="289">
        <v>65000</v>
      </c>
      <c r="J44" s="289"/>
      <c r="K44" s="284"/>
      <c r="L44" s="285"/>
      <c r="M44" s="286"/>
      <c r="N44" s="72"/>
      <c r="O44" s="261">
        <f t="shared" si="0"/>
        <v>0</v>
      </c>
    </row>
    <row r="45" spans="1:15" ht="14.4">
      <c r="A45" s="280" t="s">
        <v>1610</v>
      </c>
      <c r="B45" s="281" t="s">
        <v>23</v>
      </c>
      <c r="C45" s="282" t="s">
        <v>1606</v>
      </c>
      <c r="D45" s="281" t="s">
        <v>778</v>
      </c>
      <c r="E45" s="281" t="s">
        <v>33</v>
      </c>
      <c r="F45" s="283">
        <v>42537</v>
      </c>
      <c r="G45" s="283">
        <v>42583</v>
      </c>
      <c r="H45" s="283">
        <v>42586</v>
      </c>
      <c r="I45" s="284">
        <v>10500</v>
      </c>
      <c r="J45" s="284"/>
      <c r="K45" s="284"/>
      <c r="L45" s="285"/>
      <c r="M45" s="286"/>
      <c r="N45" s="72"/>
      <c r="O45" s="261">
        <f t="shared" si="0"/>
        <v>0</v>
      </c>
    </row>
    <row r="46" spans="1:15" ht="14.4">
      <c r="A46" s="282" t="s">
        <v>1609</v>
      </c>
      <c r="B46" s="287" t="s">
        <v>23</v>
      </c>
      <c r="C46" s="282" t="s">
        <v>1606</v>
      </c>
      <c r="D46" s="281" t="s">
        <v>778</v>
      </c>
      <c r="E46" s="281" t="s">
        <v>33</v>
      </c>
      <c r="F46" s="288">
        <v>42537</v>
      </c>
      <c r="G46" s="288">
        <v>42583</v>
      </c>
      <c r="H46" s="288">
        <v>42598</v>
      </c>
      <c r="I46" s="289">
        <v>211425.24000000002</v>
      </c>
      <c r="J46" s="289"/>
      <c r="K46" s="284"/>
      <c r="L46" s="285"/>
      <c r="M46" s="286"/>
      <c r="N46" s="72"/>
      <c r="O46" s="261">
        <f t="shared" si="0"/>
        <v>0</v>
      </c>
    </row>
    <row r="47" spans="1:15" ht="14.4">
      <c r="A47" s="280" t="s">
        <v>1608</v>
      </c>
      <c r="B47" s="281" t="s">
        <v>28</v>
      </c>
      <c r="C47" s="282" t="s">
        <v>1606</v>
      </c>
      <c r="D47" s="281" t="s">
        <v>778</v>
      </c>
      <c r="E47" s="281" t="s">
        <v>33</v>
      </c>
      <c r="F47" s="283">
        <v>42537</v>
      </c>
      <c r="G47" s="283">
        <v>42583</v>
      </c>
      <c r="H47" s="283">
        <v>42598</v>
      </c>
      <c r="I47" s="284">
        <v>438043.09</v>
      </c>
      <c r="J47" s="284"/>
      <c r="K47" s="284"/>
      <c r="L47" s="285"/>
      <c r="M47" s="286"/>
      <c r="N47" s="72"/>
      <c r="O47" s="261">
        <f t="shared" si="0"/>
        <v>0</v>
      </c>
    </row>
    <row r="48" spans="1:15" ht="14.4">
      <c r="A48" s="280" t="s">
        <v>1607</v>
      </c>
      <c r="B48" s="281" t="s">
        <v>50</v>
      </c>
      <c r="C48" s="282" t="s">
        <v>1606</v>
      </c>
      <c r="D48" s="281" t="s">
        <v>778</v>
      </c>
      <c r="E48" s="281" t="s">
        <v>33</v>
      </c>
      <c r="F48" s="283">
        <v>42537</v>
      </c>
      <c r="G48" s="283">
        <v>42583</v>
      </c>
      <c r="H48" s="283">
        <v>42598</v>
      </c>
      <c r="I48" s="284">
        <v>15000</v>
      </c>
      <c r="J48" s="284">
        <f>SUM(I44:I48)</f>
        <v>739968.33000000007</v>
      </c>
      <c r="K48" s="284">
        <v>310000</v>
      </c>
      <c r="L48" s="285">
        <f>+J48-K48</f>
        <v>429968.33000000007</v>
      </c>
      <c r="M48" s="286"/>
      <c r="N48" s="72"/>
      <c r="O48" s="261">
        <f t="shared" si="0"/>
        <v>18264.330000000075</v>
      </c>
    </row>
    <row r="49" spans="1:15" ht="14.4">
      <c r="A49" s="280" t="s">
        <v>1656</v>
      </c>
      <c r="B49" s="281" t="s">
        <v>23</v>
      </c>
      <c r="C49" s="282" t="s">
        <v>1772</v>
      </c>
      <c r="D49" s="281" t="s">
        <v>1652</v>
      </c>
      <c r="E49" s="281" t="s">
        <v>33</v>
      </c>
      <c r="F49" s="283">
        <v>42404</v>
      </c>
      <c r="G49" s="283">
        <v>42473</v>
      </c>
      <c r="H49" s="283">
        <v>42488</v>
      </c>
      <c r="I49" s="284">
        <v>17408</v>
      </c>
      <c r="J49" s="284"/>
      <c r="K49" s="284"/>
      <c r="L49" s="285"/>
      <c r="M49" s="286"/>
      <c r="N49" s="72"/>
      <c r="O49" s="261">
        <f t="shared" si="0"/>
        <v>0</v>
      </c>
    </row>
    <row r="50" spans="1:15" ht="14.4">
      <c r="A50" s="280" t="s">
        <v>1655</v>
      </c>
      <c r="B50" s="281" t="s">
        <v>28</v>
      </c>
      <c r="C50" s="282" t="s">
        <v>1772</v>
      </c>
      <c r="D50" s="281" t="s">
        <v>1652</v>
      </c>
      <c r="E50" s="281" t="s">
        <v>33</v>
      </c>
      <c r="F50" s="283">
        <v>42404</v>
      </c>
      <c r="G50" s="283">
        <v>42473</v>
      </c>
      <c r="H50" s="283">
        <v>42488</v>
      </c>
      <c r="I50" s="289">
        <v>80345.36</v>
      </c>
      <c r="J50" s="289"/>
      <c r="K50" s="284"/>
      <c r="L50" s="285"/>
      <c r="M50" s="286"/>
      <c r="N50" s="72"/>
      <c r="O50" s="261">
        <f t="shared" si="0"/>
        <v>0</v>
      </c>
    </row>
    <row r="51" spans="1:15" ht="14.4">
      <c r="A51" s="280" t="s">
        <v>1654</v>
      </c>
      <c r="B51" s="281" t="s">
        <v>140</v>
      </c>
      <c r="C51" s="282" t="s">
        <v>1772</v>
      </c>
      <c r="D51" s="281" t="s">
        <v>1652</v>
      </c>
      <c r="E51" s="281" t="s">
        <v>33</v>
      </c>
      <c r="F51" s="283">
        <v>42404</v>
      </c>
      <c r="G51" s="283">
        <v>42506</v>
      </c>
      <c r="H51" s="283">
        <v>42534</v>
      </c>
      <c r="I51" s="284">
        <v>110000</v>
      </c>
      <c r="J51" s="284"/>
      <c r="K51" s="284"/>
      <c r="L51" s="285"/>
      <c r="M51" s="286"/>
      <c r="N51" s="72"/>
      <c r="O51" s="261">
        <f t="shared" si="0"/>
        <v>0</v>
      </c>
    </row>
    <row r="52" spans="1:15" ht="14.4">
      <c r="A52" s="280" t="s">
        <v>1653</v>
      </c>
      <c r="B52" s="281" t="s">
        <v>28</v>
      </c>
      <c r="C52" s="282" t="s">
        <v>1772</v>
      </c>
      <c r="D52" s="281" t="s">
        <v>1652</v>
      </c>
      <c r="E52" s="281" t="s">
        <v>33</v>
      </c>
      <c r="F52" s="283">
        <v>42404</v>
      </c>
      <c r="G52" s="283">
        <v>42541</v>
      </c>
      <c r="H52" s="283">
        <v>42548</v>
      </c>
      <c r="I52" s="284">
        <v>105905.96</v>
      </c>
      <c r="J52" s="284">
        <f>SUM(I49:I52)</f>
        <v>313659.32</v>
      </c>
      <c r="K52" s="284">
        <v>310000</v>
      </c>
      <c r="L52" s="285">
        <f>+J52-K52</f>
        <v>3659.320000000007</v>
      </c>
      <c r="M52" s="286"/>
      <c r="N52" s="72"/>
      <c r="O52" s="261">
        <f t="shared" si="0"/>
        <v>0</v>
      </c>
    </row>
    <row r="53" spans="1:15" ht="14.4">
      <c r="A53" s="280" t="s">
        <v>1821</v>
      </c>
      <c r="B53" s="287" t="s">
        <v>23</v>
      </c>
      <c r="C53" s="282" t="s">
        <v>1822</v>
      </c>
      <c r="D53" s="281" t="s">
        <v>84</v>
      </c>
      <c r="E53" s="281" t="s">
        <v>33</v>
      </c>
      <c r="F53" s="283">
        <v>42707</v>
      </c>
      <c r="G53" s="283">
        <v>42732</v>
      </c>
      <c r="H53" s="283">
        <v>42745</v>
      </c>
      <c r="I53" s="284">
        <v>103000</v>
      </c>
      <c r="J53" s="284"/>
      <c r="K53" s="284"/>
      <c r="L53" s="284"/>
      <c r="M53" s="286"/>
      <c r="N53" s="72"/>
      <c r="O53" s="261">
        <f t="shared" si="0"/>
        <v>0</v>
      </c>
    </row>
    <row r="54" spans="1:15" ht="14.4">
      <c r="A54" s="280" t="s">
        <v>1823</v>
      </c>
      <c r="B54" s="287" t="s">
        <v>174</v>
      </c>
      <c r="C54" s="282" t="s">
        <v>1822</v>
      </c>
      <c r="D54" s="281" t="s">
        <v>84</v>
      </c>
      <c r="E54" s="281" t="s">
        <v>33</v>
      </c>
      <c r="F54" s="283">
        <v>42707</v>
      </c>
      <c r="G54" s="283">
        <v>42732</v>
      </c>
      <c r="H54" s="283">
        <v>42745</v>
      </c>
      <c r="I54" s="284">
        <v>500000</v>
      </c>
      <c r="J54" s="284"/>
      <c r="K54" s="284"/>
      <c r="L54" s="284"/>
      <c r="M54" s="286"/>
      <c r="N54" s="72"/>
      <c r="O54" s="261">
        <f t="shared" si="0"/>
        <v>0</v>
      </c>
    </row>
    <row r="55" spans="1:15" ht="14.4">
      <c r="A55" s="280" t="s">
        <v>1824</v>
      </c>
      <c r="B55" s="287" t="s">
        <v>245</v>
      </c>
      <c r="C55" s="282" t="s">
        <v>1822</v>
      </c>
      <c r="D55" s="281" t="s">
        <v>84</v>
      </c>
      <c r="E55" s="281" t="s">
        <v>33</v>
      </c>
      <c r="F55" s="283">
        <v>42707</v>
      </c>
      <c r="G55" s="283">
        <v>42781</v>
      </c>
      <c r="H55" s="283">
        <v>42760</v>
      </c>
      <c r="I55" s="284">
        <v>71000</v>
      </c>
      <c r="J55" s="284"/>
      <c r="K55" s="284"/>
      <c r="L55" s="285"/>
      <c r="M55" s="286"/>
      <c r="N55" s="72"/>
      <c r="O55" s="261">
        <f t="shared" si="0"/>
        <v>0</v>
      </c>
    </row>
    <row r="56" spans="1:15" ht="14.4">
      <c r="A56" s="290" t="s">
        <v>1846</v>
      </c>
      <c r="B56" s="287" t="s">
        <v>174</v>
      </c>
      <c r="C56" s="282" t="s">
        <v>1822</v>
      </c>
      <c r="D56" s="281" t="s">
        <v>1847</v>
      </c>
      <c r="E56" s="281" t="s">
        <v>33</v>
      </c>
      <c r="F56" s="288">
        <v>42707</v>
      </c>
      <c r="G56" s="288">
        <v>42948</v>
      </c>
      <c r="H56" s="288">
        <v>42955</v>
      </c>
      <c r="I56" s="289">
        <v>4500</v>
      </c>
      <c r="J56" s="289"/>
      <c r="K56" s="284"/>
      <c r="L56" s="285"/>
      <c r="M56" s="291"/>
      <c r="N56" s="72"/>
      <c r="O56" s="261">
        <f t="shared" si="0"/>
        <v>0</v>
      </c>
    </row>
    <row r="57" spans="1:15" ht="14.4">
      <c r="A57" s="282" t="s">
        <v>1848</v>
      </c>
      <c r="B57" s="287" t="s">
        <v>23</v>
      </c>
      <c r="C57" s="282" t="s">
        <v>1822</v>
      </c>
      <c r="D57" s="282" t="s">
        <v>1847</v>
      </c>
      <c r="E57" s="282" t="s">
        <v>33</v>
      </c>
      <c r="F57" s="288">
        <v>42707</v>
      </c>
      <c r="G57" s="288">
        <v>42948</v>
      </c>
      <c r="H57" s="288">
        <v>42955</v>
      </c>
      <c r="I57" s="289">
        <v>8743.7999999999993</v>
      </c>
      <c r="J57" s="289">
        <f>SUM(I53:I57)</f>
        <v>687243.8</v>
      </c>
      <c r="K57" s="284">
        <v>310000</v>
      </c>
      <c r="L57" s="285">
        <f>+J57-K57</f>
        <v>377243.80000000005</v>
      </c>
      <c r="M57" s="291"/>
      <c r="N57" s="72"/>
      <c r="O57" s="261">
        <f t="shared" si="0"/>
        <v>0</v>
      </c>
    </row>
    <row r="58" spans="1:15" ht="14.4">
      <c r="A58" s="280" t="s">
        <v>1651</v>
      </c>
      <c r="B58" s="287" t="s">
        <v>93</v>
      </c>
      <c r="C58" s="282" t="s">
        <v>1648</v>
      </c>
      <c r="D58" s="281" t="s">
        <v>750</v>
      </c>
      <c r="E58" s="281" t="s">
        <v>33</v>
      </c>
      <c r="F58" s="283">
        <v>42453</v>
      </c>
      <c r="G58" s="283">
        <v>42461</v>
      </c>
      <c r="H58" s="283">
        <v>42488</v>
      </c>
      <c r="I58" s="284">
        <v>331800</v>
      </c>
      <c r="J58" s="284"/>
      <c r="K58" s="284"/>
      <c r="L58" s="285"/>
      <c r="M58" s="286"/>
      <c r="N58" s="72"/>
      <c r="O58" s="261">
        <f t="shared" si="0"/>
        <v>0</v>
      </c>
    </row>
    <row r="59" spans="1:15" ht="14.4">
      <c r="A59" s="280" t="s">
        <v>1650</v>
      </c>
      <c r="B59" s="281" t="s">
        <v>23</v>
      </c>
      <c r="C59" s="282" t="s">
        <v>1648</v>
      </c>
      <c r="D59" s="281" t="s">
        <v>84</v>
      </c>
      <c r="E59" s="281" t="s">
        <v>33</v>
      </c>
      <c r="F59" s="283">
        <v>42453</v>
      </c>
      <c r="G59" s="283">
        <v>42492</v>
      </c>
      <c r="H59" s="283">
        <v>42506</v>
      </c>
      <c r="I59" s="284">
        <v>28906.66</v>
      </c>
      <c r="J59" s="284"/>
      <c r="K59" s="284"/>
      <c r="L59" s="285"/>
      <c r="M59" s="286"/>
      <c r="N59" s="72"/>
      <c r="O59" s="261">
        <f t="shared" si="0"/>
        <v>0</v>
      </c>
    </row>
    <row r="60" spans="1:15" ht="14.4">
      <c r="A60" s="280" t="s">
        <v>1649</v>
      </c>
      <c r="B60" s="287" t="s">
        <v>174</v>
      </c>
      <c r="C60" s="282" t="s">
        <v>1648</v>
      </c>
      <c r="D60" s="281" t="s">
        <v>84</v>
      </c>
      <c r="E60" s="281" t="s">
        <v>33</v>
      </c>
      <c r="F60" s="283">
        <v>42453</v>
      </c>
      <c r="G60" s="283">
        <v>42492</v>
      </c>
      <c r="H60" s="283">
        <v>42510</v>
      </c>
      <c r="I60" s="284">
        <v>20700</v>
      </c>
      <c r="J60" s="284">
        <f>SUM(I58:I60)</f>
        <v>381406.66</v>
      </c>
      <c r="K60" s="284">
        <v>310000</v>
      </c>
      <c r="L60" s="285">
        <f>+J60-K60</f>
        <v>71406.659999999974</v>
      </c>
      <c r="M60" s="286"/>
      <c r="N60" s="72"/>
      <c r="O60" s="261">
        <f t="shared" si="0"/>
        <v>0</v>
      </c>
    </row>
    <row r="61" spans="1:15" ht="14.4">
      <c r="A61" s="280" t="s">
        <v>1773</v>
      </c>
      <c r="B61" s="281" t="s">
        <v>23</v>
      </c>
      <c r="C61" s="282" t="s">
        <v>1774</v>
      </c>
      <c r="D61" s="281" t="s">
        <v>1775</v>
      </c>
      <c r="E61" s="281" t="s">
        <v>33</v>
      </c>
      <c r="F61" s="283">
        <v>42611</v>
      </c>
      <c r="G61" s="283">
        <v>42678</v>
      </c>
      <c r="H61" s="283">
        <v>42697</v>
      </c>
      <c r="I61" s="284">
        <v>76245.94</v>
      </c>
      <c r="J61" s="284"/>
      <c r="K61" s="284"/>
      <c r="L61" s="285"/>
      <c r="M61" s="286"/>
      <c r="N61" s="72"/>
      <c r="O61" s="261">
        <f t="shared" si="0"/>
        <v>0</v>
      </c>
    </row>
    <row r="62" spans="1:15" ht="14.4">
      <c r="A62" s="280" t="s">
        <v>1776</v>
      </c>
      <c r="B62" s="287" t="s">
        <v>174</v>
      </c>
      <c r="C62" s="282" t="s">
        <v>1774</v>
      </c>
      <c r="D62" s="281" t="s">
        <v>1775</v>
      </c>
      <c r="E62" s="281" t="s">
        <v>33</v>
      </c>
      <c r="F62" s="283">
        <v>42611</v>
      </c>
      <c r="G62" s="283">
        <v>42678</v>
      </c>
      <c r="H62" s="283">
        <v>42697</v>
      </c>
      <c r="I62" s="284">
        <v>274961.65999999997</v>
      </c>
      <c r="J62" s="284">
        <f>+I62+I61</f>
        <v>351207.6</v>
      </c>
      <c r="K62" s="284">
        <v>310000</v>
      </c>
      <c r="L62" s="284">
        <f>+J62-K62</f>
        <v>41207.599999999977</v>
      </c>
      <c r="M62" s="286"/>
      <c r="N62" s="72"/>
      <c r="O62" s="261">
        <f t="shared" si="0"/>
        <v>0</v>
      </c>
    </row>
    <row r="63" spans="1:15" ht="14.4">
      <c r="A63" s="280" t="s">
        <v>1825</v>
      </c>
      <c r="B63" s="287" t="s">
        <v>28</v>
      </c>
      <c r="C63" s="282" t="s">
        <v>1826</v>
      </c>
      <c r="D63" s="281" t="s">
        <v>1827</v>
      </c>
      <c r="E63" s="281" t="s">
        <v>33</v>
      </c>
      <c r="F63" s="283">
        <v>42716</v>
      </c>
      <c r="G63" s="283">
        <v>42741</v>
      </c>
      <c r="H63" s="283">
        <v>42747</v>
      </c>
      <c r="I63" s="284">
        <v>118956.5</v>
      </c>
      <c r="J63" s="284"/>
      <c r="K63" s="284"/>
      <c r="L63" s="284"/>
      <c r="M63" s="286"/>
      <c r="N63" s="72"/>
      <c r="O63" s="261">
        <f t="shared" si="0"/>
        <v>0</v>
      </c>
    </row>
    <row r="64" spans="1:15" ht="15" thickBot="1">
      <c r="A64" s="280" t="s">
        <v>1828</v>
      </c>
      <c r="B64" s="287" t="s">
        <v>23</v>
      </c>
      <c r="C64" s="282" t="s">
        <v>1826</v>
      </c>
      <c r="D64" s="281" t="s">
        <v>1829</v>
      </c>
      <c r="E64" s="281" t="s">
        <v>33</v>
      </c>
      <c r="F64" s="283">
        <v>42716</v>
      </c>
      <c r="G64" s="283">
        <v>42765</v>
      </c>
      <c r="H64" s="283">
        <v>42811</v>
      </c>
      <c r="I64" s="284">
        <v>17514.95</v>
      </c>
      <c r="J64" s="284"/>
      <c r="K64" s="284"/>
      <c r="L64" s="284"/>
      <c r="M64" s="286"/>
      <c r="N64" s="72"/>
      <c r="O64" s="261">
        <f t="shared" si="0"/>
        <v>0</v>
      </c>
    </row>
    <row r="65" spans="1:15" ht="14.4">
      <c r="A65" s="292" t="s">
        <v>1830</v>
      </c>
      <c r="B65" s="293" t="s">
        <v>174</v>
      </c>
      <c r="C65" s="294" t="s">
        <v>1826</v>
      </c>
      <c r="D65" s="295" t="s">
        <v>1829</v>
      </c>
      <c r="E65" s="295" t="s">
        <v>33</v>
      </c>
      <c r="F65" s="296">
        <v>42716</v>
      </c>
      <c r="G65" s="296">
        <v>42765</v>
      </c>
      <c r="H65" s="296">
        <v>42811</v>
      </c>
      <c r="I65" s="297">
        <v>244393.01</v>
      </c>
      <c r="J65" s="298"/>
      <c r="K65" s="298"/>
      <c r="L65" s="298"/>
      <c r="M65" s="286"/>
      <c r="N65" s="72"/>
      <c r="O65" s="261">
        <f t="shared" si="0"/>
        <v>0</v>
      </c>
    </row>
    <row r="66" spans="1:15" ht="14.4">
      <c r="A66" s="299" t="s">
        <v>1830</v>
      </c>
      <c r="B66" s="300" t="s">
        <v>28</v>
      </c>
      <c r="C66" s="301" t="s">
        <v>1826</v>
      </c>
      <c r="D66" s="302" t="s">
        <v>1829</v>
      </c>
      <c r="E66" s="302" t="s">
        <v>33</v>
      </c>
      <c r="F66" s="303">
        <v>42716</v>
      </c>
      <c r="G66" s="303">
        <v>42765</v>
      </c>
      <c r="H66" s="303">
        <v>42811</v>
      </c>
      <c r="I66" s="304">
        <v>6000</v>
      </c>
      <c r="J66" s="305">
        <f>SUM(I63:I66)</f>
        <v>386864.46</v>
      </c>
      <c r="K66" s="305">
        <v>310000</v>
      </c>
      <c r="L66" s="305">
        <f>+J66-K66</f>
        <v>76864.460000000021</v>
      </c>
      <c r="M66" s="286"/>
      <c r="N66" s="72"/>
      <c r="O66" s="261">
        <f t="shared" si="0"/>
        <v>0</v>
      </c>
    </row>
    <row r="67" spans="1:15" ht="14.4">
      <c r="A67" s="280" t="s">
        <v>1777</v>
      </c>
      <c r="B67" s="287" t="s">
        <v>28</v>
      </c>
      <c r="C67" s="282" t="s">
        <v>1778</v>
      </c>
      <c r="D67" s="281" t="s">
        <v>38</v>
      </c>
      <c r="E67" s="281" t="s">
        <v>33</v>
      </c>
      <c r="F67" s="283">
        <v>42662</v>
      </c>
      <c r="G67" s="283">
        <v>42688</v>
      </c>
      <c r="H67" s="283">
        <v>42689</v>
      </c>
      <c r="I67" s="284">
        <v>1084503.8400000001</v>
      </c>
      <c r="J67" s="284"/>
      <c r="K67" s="284"/>
      <c r="L67" s="285"/>
      <c r="M67" s="286"/>
      <c r="N67" s="72"/>
      <c r="O67" s="261">
        <f t="shared" si="0"/>
        <v>0</v>
      </c>
    </row>
    <row r="68" spans="1:15" ht="14.4">
      <c r="A68" s="280" t="s">
        <v>1779</v>
      </c>
      <c r="B68" s="287" t="s">
        <v>30</v>
      </c>
      <c r="C68" s="282" t="s">
        <v>1778</v>
      </c>
      <c r="D68" s="281" t="s">
        <v>38</v>
      </c>
      <c r="E68" s="281" t="s">
        <v>33</v>
      </c>
      <c r="F68" s="283">
        <v>42662</v>
      </c>
      <c r="G68" s="283">
        <v>42688</v>
      </c>
      <c r="H68" s="283">
        <v>42689</v>
      </c>
      <c r="I68" s="284">
        <v>103000</v>
      </c>
      <c r="J68" s="284"/>
      <c r="K68" s="284"/>
      <c r="L68" s="285"/>
      <c r="M68" s="286"/>
      <c r="N68" s="72"/>
      <c r="O68" s="261">
        <f t="shared" si="0"/>
        <v>0</v>
      </c>
    </row>
    <row r="69" spans="1:15" ht="14.4">
      <c r="A69" s="280" t="s">
        <v>1780</v>
      </c>
      <c r="B69" s="281" t="s">
        <v>50</v>
      </c>
      <c r="C69" s="282" t="s">
        <v>1778</v>
      </c>
      <c r="D69" s="281" t="s">
        <v>38</v>
      </c>
      <c r="E69" s="281" t="s">
        <v>33</v>
      </c>
      <c r="F69" s="283">
        <v>42662</v>
      </c>
      <c r="G69" s="283">
        <v>42688</v>
      </c>
      <c r="H69" s="283">
        <v>42689</v>
      </c>
      <c r="I69" s="284">
        <v>50000</v>
      </c>
      <c r="J69" s="284"/>
      <c r="K69" s="284"/>
      <c r="L69" s="285"/>
      <c r="M69" s="286"/>
      <c r="N69" s="72"/>
      <c r="O69" s="261">
        <f t="shared" si="0"/>
        <v>0</v>
      </c>
    </row>
    <row r="70" spans="1:15" ht="14.4">
      <c r="A70" s="280" t="s">
        <v>1781</v>
      </c>
      <c r="B70" s="287" t="s">
        <v>23</v>
      </c>
      <c r="C70" s="282" t="s">
        <v>1778</v>
      </c>
      <c r="D70" s="281" t="s">
        <v>38</v>
      </c>
      <c r="E70" s="281" t="s">
        <v>33</v>
      </c>
      <c r="F70" s="283">
        <v>42662</v>
      </c>
      <c r="G70" s="283">
        <v>42706</v>
      </c>
      <c r="H70" s="283">
        <v>42711</v>
      </c>
      <c r="I70" s="284">
        <v>63550.68</v>
      </c>
      <c r="J70" s="284">
        <f>SUM(I67:I70)</f>
        <v>1301054.52</v>
      </c>
      <c r="K70" s="284">
        <v>310000</v>
      </c>
      <c r="L70" s="285">
        <f>+J70-K70</f>
        <v>991054.52</v>
      </c>
      <c r="M70" s="286"/>
      <c r="N70" s="72"/>
      <c r="O70" s="261">
        <f t="shared" si="0"/>
        <v>579350.52</v>
      </c>
    </row>
    <row r="71" spans="1:15" ht="14.4">
      <c r="A71" s="280" t="s">
        <v>1605</v>
      </c>
      <c r="B71" s="287" t="s">
        <v>23</v>
      </c>
      <c r="C71" s="282" t="s">
        <v>1603</v>
      </c>
      <c r="D71" s="281" t="s">
        <v>26</v>
      </c>
      <c r="E71" s="281" t="s">
        <v>25</v>
      </c>
      <c r="F71" s="283">
        <v>42545</v>
      </c>
      <c r="G71" s="283">
        <v>42619</v>
      </c>
      <c r="H71" s="283">
        <v>42635</v>
      </c>
      <c r="I71" s="284">
        <v>228661.08</v>
      </c>
      <c r="J71" s="284"/>
      <c r="K71" s="284"/>
      <c r="L71" s="285"/>
      <c r="M71" s="286"/>
      <c r="N71" s="72"/>
      <c r="O71" s="261">
        <f t="shared" si="0"/>
        <v>0</v>
      </c>
    </row>
    <row r="72" spans="1:15" ht="14.4">
      <c r="A72" s="280" t="s">
        <v>1604</v>
      </c>
      <c r="B72" s="281" t="s">
        <v>28</v>
      </c>
      <c r="C72" s="282" t="s">
        <v>1603</v>
      </c>
      <c r="D72" s="281" t="s">
        <v>26</v>
      </c>
      <c r="E72" s="281" t="s">
        <v>25</v>
      </c>
      <c r="F72" s="283">
        <v>42545</v>
      </c>
      <c r="G72" s="283">
        <v>42619</v>
      </c>
      <c r="H72" s="283">
        <v>42635</v>
      </c>
      <c r="I72" s="284">
        <v>105266.63</v>
      </c>
      <c r="J72" s="284">
        <f>+I72+I71</f>
        <v>333927.70999999996</v>
      </c>
      <c r="K72" s="284">
        <v>310000</v>
      </c>
      <c r="L72" s="285">
        <f>+J72-K72</f>
        <v>23927.709999999963</v>
      </c>
      <c r="M72" s="286"/>
      <c r="N72" s="72"/>
      <c r="O72" s="261">
        <f t="shared" si="0"/>
        <v>0</v>
      </c>
    </row>
    <row r="73" spans="1:15" ht="14.4">
      <c r="A73" s="280" t="s">
        <v>1647</v>
      </c>
      <c r="B73" s="287" t="s">
        <v>23</v>
      </c>
      <c r="C73" s="282" t="s">
        <v>1645</v>
      </c>
      <c r="D73" s="281" t="s">
        <v>1594</v>
      </c>
      <c r="E73" s="281" t="s">
        <v>33</v>
      </c>
      <c r="F73" s="283">
        <v>42380</v>
      </c>
      <c r="G73" s="283">
        <v>42465</v>
      </c>
      <c r="H73" s="283">
        <v>42480</v>
      </c>
      <c r="I73" s="284">
        <v>105000</v>
      </c>
      <c r="J73" s="284"/>
      <c r="K73" s="284"/>
      <c r="L73" s="285"/>
      <c r="M73" s="286"/>
      <c r="N73" s="72"/>
      <c r="O73" s="261">
        <f t="shared" si="0"/>
        <v>0</v>
      </c>
    </row>
    <row r="74" spans="1:15" ht="14.4">
      <c r="A74" s="282" t="s">
        <v>1646</v>
      </c>
      <c r="B74" s="287" t="s">
        <v>28</v>
      </c>
      <c r="C74" s="282" t="s">
        <v>1645</v>
      </c>
      <c r="D74" s="282" t="s">
        <v>1594</v>
      </c>
      <c r="E74" s="282" t="s">
        <v>33</v>
      </c>
      <c r="F74" s="288">
        <v>42380</v>
      </c>
      <c r="G74" s="288">
        <v>42465</v>
      </c>
      <c r="H74" s="288">
        <v>42480</v>
      </c>
      <c r="I74" s="289">
        <v>295904.48</v>
      </c>
      <c r="J74" s="289">
        <f>+I74+I73</f>
        <v>400904.48</v>
      </c>
      <c r="K74" s="284">
        <v>310000</v>
      </c>
      <c r="L74" s="285">
        <f>+J74-K74</f>
        <v>90904.479999999981</v>
      </c>
      <c r="M74" s="291"/>
      <c r="N74" s="72"/>
      <c r="O74" s="261">
        <f t="shared" si="0"/>
        <v>0</v>
      </c>
    </row>
    <row r="75" spans="1:15" ht="14.4">
      <c r="A75" s="280" t="s">
        <v>1602</v>
      </c>
      <c r="B75" s="287" t="s">
        <v>23</v>
      </c>
      <c r="C75" s="282" t="s">
        <v>1595</v>
      </c>
      <c r="D75" s="281" t="s">
        <v>1600</v>
      </c>
      <c r="E75" s="281" t="s">
        <v>33</v>
      </c>
      <c r="F75" s="283">
        <v>42432</v>
      </c>
      <c r="G75" s="283">
        <v>42527</v>
      </c>
      <c r="H75" s="283">
        <v>42563</v>
      </c>
      <c r="I75" s="284">
        <v>24402.69</v>
      </c>
      <c r="J75" s="284"/>
      <c r="K75" s="284"/>
      <c r="L75" s="285"/>
      <c r="M75" s="286"/>
      <c r="N75" s="72"/>
      <c r="O75" s="261">
        <f t="shared" ref="O75:O139" si="1">IF($J75&gt;P$8,$J75-P$8,0)</f>
        <v>0</v>
      </c>
    </row>
    <row r="76" spans="1:15" ht="14.4">
      <c r="A76" s="280" t="s">
        <v>1601</v>
      </c>
      <c r="B76" s="281" t="s">
        <v>28</v>
      </c>
      <c r="C76" s="282" t="s">
        <v>1595</v>
      </c>
      <c r="D76" s="281" t="s">
        <v>1600</v>
      </c>
      <c r="E76" s="281" t="s">
        <v>33</v>
      </c>
      <c r="F76" s="283">
        <v>42432</v>
      </c>
      <c r="G76" s="283">
        <v>42527</v>
      </c>
      <c r="H76" s="283">
        <v>42563</v>
      </c>
      <c r="I76" s="284">
        <v>77555.44</v>
      </c>
      <c r="J76" s="284"/>
      <c r="K76" s="284"/>
      <c r="L76" s="285"/>
      <c r="M76" s="286"/>
      <c r="N76" s="72"/>
      <c r="O76" s="261">
        <f t="shared" si="1"/>
        <v>0</v>
      </c>
    </row>
    <row r="77" spans="1:15" ht="14.4">
      <c r="A77" s="280" t="s">
        <v>1599</v>
      </c>
      <c r="B77" s="287" t="s">
        <v>23</v>
      </c>
      <c r="C77" s="282" t="s">
        <v>1595</v>
      </c>
      <c r="D77" s="281" t="s">
        <v>1594</v>
      </c>
      <c r="E77" s="281" t="s">
        <v>33</v>
      </c>
      <c r="F77" s="283">
        <v>42432</v>
      </c>
      <c r="G77" s="283">
        <v>42504</v>
      </c>
      <c r="H77" s="283">
        <v>42531</v>
      </c>
      <c r="I77" s="284">
        <v>19900.32</v>
      </c>
      <c r="J77" s="284"/>
      <c r="K77" s="284"/>
      <c r="L77" s="285"/>
      <c r="M77" s="286"/>
      <c r="N77" s="72"/>
      <c r="O77" s="261">
        <f t="shared" si="1"/>
        <v>0</v>
      </c>
    </row>
    <row r="78" spans="1:15" ht="14.4">
      <c r="A78" s="280" t="s">
        <v>1598</v>
      </c>
      <c r="B78" s="287" t="s">
        <v>174</v>
      </c>
      <c r="C78" s="282" t="s">
        <v>1595</v>
      </c>
      <c r="D78" s="281" t="s">
        <v>1594</v>
      </c>
      <c r="E78" s="281" t="s">
        <v>33</v>
      </c>
      <c r="F78" s="283">
        <v>42432</v>
      </c>
      <c r="G78" s="283">
        <v>42504</v>
      </c>
      <c r="H78" s="283">
        <v>42531</v>
      </c>
      <c r="I78" s="284">
        <v>133395.56</v>
      </c>
      <c r="J78" s="284"/>
      <c r="K78" s="284"/>
      <c r="L78" s="285"/>
      <c r="M78" s="286"/>
      <c r="N78" s="72"/>
      <c r="O78" s="261">
        <f t="shared" si="1"/>
        <v>0</v>
      </c>
    </row>
    <row r="79" spans="1:15" ht="14.4">
      <c r="A79" s="290" t="s">
        <v>1597</v>
      </c>
      <c r="B79" s="281" t="s">
        <v>250</v>
      </c>
      <c r="C79" s="282" t="s">
        <v>1595</v>
      </c>
      <c r="D79" s="281" t="s">
        <v>1594</v>
      </c>
      <c r="E79" s="281" t="s">
        <v>33</v>
      </c>
      <c r="F79" s="288">
        <v>42432</v>
      </c>
      <c r="G79" s="288">
        <v>42504</v>
      </c>
      <c r="H79" s="288">
        <v>42531</v>
      </c>
      <c r="I79" s="289">
        <v>7000</v>
      </c>
      <c r="J79" s="288"/>
      <c r="K79" s="288"/>
      <c r="L79" s="285"/>
      <c r="M79" s="291"/>
      <c r="N79" s="72"/>
      <c r="O79" s="261">
        <f t="shared" si="1"/>
        <v>0</v>
      </c>
    </row>
    <row r="80" spans="1:15" ht="14.4">
      <c r="A80" s="290" t="s">
        <v>1596</v>
      </c>
      <c r="B80" s="287" t="s">
        <v>93</v>
      </c>
      <c r="C80" s="282" t="s">
        <v>1595</v>
      </c>
      <c r="D80" s="281" t="s">
        <v>1594</v>
      </c>
      <c r="E80" s="281" t="s">
        <v>33</v>
      </c>
      <c r="F80" s="288">
        <v>42432</v>
      </c>
      <c r="G80" s="288">
        <v>42504</v>
      </c>
      <c r="H80" s="288">
        <v>42531</v>
      </c>
      <c r="I80" s="289">
        <v>104757.13499999998</v>
      </c>
      <c r="J80" s="289">
        <f>SUM(I75:I80)</f>
        <v>367011.14500000002</v>
      </c>
      <c r="K80" s="284">
        <v>310000</v>
      </c>
      <c r="L80" s="285">
        <f>+J80-K80</f>
        <v>57011.145000000019</v>
      </c>
      <c r="M80" s="291"/>
      <c r="N80" s="72"/>
      <c r="O80" s="261">
        <f t="shared" si="1"/>
        <v>0</v>
      </c>
    </row>
    <row r="81" spans="1:15" ht="14.4">
      <c r="A81" s="280" t="s">
        <v>1782</v>
      </c>
      <c r="B81" s="287" t="s">
        <v>23</v>
      </c>
      <c r="C81" s="282" t="s">
        <v>1783</v>
      </c>
      <c r="D81" s="281" t="s">
        <v>750</v>
      </c>
      <c r="E81" s="281" t="s">
        <v>33</v>
      </c>
      <c r="F81" s="283">
        <v>42633</v>
      </c>
      <c r="G81" s="283">
        <v>42698</v>
      </c>
      <c r="H81" s="283">
        <v>42713</v>
      </c>
      <c r="I81" s="284">
        <v>74417.3</v>
      </c>
      <c r="J81" s="284"/>
      <c r="K81" s="284"/>
      <c r="L81" s="284"/>
      <c r="M81" s="286"/>
      <c r="N81" s="72"/>
      <c r="O81" s="261">
        <f t="shared" si="1"/>
        <v>0</v>
      </c>
    </row>
    <row r="82" spans="1:15" ht="14.4">
      <c r="A82" s="280" t="s">
        <v>1784</v>
      </c>
      <c r="B82" s="287" t="s">
        <v>174</v>
      </c>
      <c r="C82" s="282" t="s">
        <v>1783</v>
      </c>
      <c r="D82" s="281" t="s">
        <v>750</v>
      </c>
      <c r="E82" s="281" t="s">
        <v>33</v>
      </c>
      <c r="F82" s="283">
        <v>42633</v>
      </c>
      <c r="G82" s="283">
        <v>42698</v>
      </c>
      <c r="H82" s="283">
        <v>42713</v>
      </c>
      <c r="I82" s="284">
        <v>390000</v>
      </c>
      <c r="J82" s="284">
        <f>+I82+I81</f>
        <v>464417.3</v>
      </c>
      <c r="K82" s="284">
        <v>310000</v>
      </c>
      <c r="L82" s="284">
        <f>+J82-K82</f>
        <v>154417.29999999999</v>
      </c>
      <c r="M82" s="286"/>
      <c r="N82" s="72"/>
      <c r="O82" s="261">
        <f t="shared" si="1"/>
        <v>0</v>
      </c>
    </row>
    <row r="83" spans="1:15" ht="14.4">
      <c r="A83" s="280" t="s">
        <v>1559</v>
      </c>
      <c r="B83" s="281" t="s">
        <v>36</v>
      </c>
      <c r="C83" s="282" t="s">
        <v>1558</v>
      </c>
      <c r="D83" s="281" t="s">
        <v>38</v>
      </c>
      <c r="E83" s="281" t="s">
        <v>33</v>
      </c>
      <c r="F83" s="283">
        <v>42618</v>
      </c>
      <c r="G83" s="283">
        <v>42634</v>
      </c>
      <c r="H83" s="283">
        <v>42670</v>
      </c>
      <c r="I83" s="284">
        <v>357986.61</v>
      </c>
      <c r="J83" s="284"/>
      <c r="K83" s="284"/>
      <c r="L83" s="285"/>
      <c r="M83" s="286"/>
      <c r="N83" s="72"/>
      <c r="O83" s="261">
        <f t="shared" si="1"/>
        <v>0</v>
      </c>
    </row>
    <row r="84" spans="1:15" ht="14.4">
      <c r="A84" s="280" t="s">
        <v>1785</v>
      </c>
      <c r="B84" s="281" t="s">
        <v>28</v>
      </c>
      <c r="C84" s="282" t="s">
        <v>1558</v>
      </c>
      <c r="D84" s="281" t="s">
        <v>38</v>
      </c>
      <c r="E84" s="281" t="s">
        <v>33</v>
      </c>
      <c r="F84" s="283">
        <v>42619</v>
      </c>
      <c r="G84" s="283">
        <v>42695</v>
      </c>
      <c r="H84" s="283">
        <v>42720</v>
      </c>
      <c r="I84" s="284">
        <v>75000</v>
      </c>
      <c r="J84" s="284"/>
      <c r="K84" s="284"/>
      <c r="L84" s="285"/>
      <c r="M84" s="286"/>
      <c r="N84" s="72"/>
      <c r="O84" s="261">
        <f t="shared" si="1"/>
        <v>0</v>
      </c>
    </row>
    <row r="85" spans="1:15" ht="14.4">
      <c r="A85" s="280" t="s">
        <v>1786</v>
      </c>
      <c r="B85" s="287" t="s">
        <v>30</v>
      </c>
      <c r="C85" s="282" t="s">
        <v>1558</v>
      </c>
      <c r="D85" s="281" t="s">
        <v>38</v>
      </c>
      <c r="E85" s="281" t="s">
        <v>33</v>
      </c>
      <c r="F85" s="283">
        <v>42620</v>
      </c>
      <c r="G85" s="283">
        <v>42695</v>
      </c>
      <c r="H85" s="283">
        <v>42732</v>
      </c>
      <c r="I85" s="284">
        <v>40000</v>
      </c>
      <c r="J85" s="284">
        <f>SUM(I83:I85)</f>
        <v>472986.61</v>
      </c>
      <c r="K85" s="284">
        <v>310000</v>
      </c>
      <c r="L85" s="285">
        <f>+J85-K85</f>
        <v>162986.60999999999</v>
      </c>
      <c r="M85" s="286"/>
      <c r="N85" s="72"/>
      <c r="O85" s="261">
        <f t="shared" si="1"/>
        <v>0</v>
      </c>
    </row>
    <row r="86" spans="1:15" ht="14.4">
      <c r="A86" s="280" t="s">
        <v>1787</v>
      </c>
      <c r="B86" s="281" t="s">
        <v>23</v>
      </c>
      <c r="C86" s="282" t="s">
        <v>1788</v>
      </c>
      <c r="D86" s="281" t="s">
        <v>553</v>
      </c>
      <c r="E86" s="281" t="s">
        <v>33</v>
      </c>
      <c r="F86" s="283">
        <v>42646</v>
      </c>
      <c r="G86" s="283">
        <v>42675</v>
      </c>
      <c r="H86" s="283">
        <v>42731</v>
      </c>
      <c r="I86" s="284">
        <v>30000</v>
      </c>
      <c r="J86" s="284"/>
      <c r="K86" s="284"/>
      <c r="L86" s="285"/>
      <c r="M86" s="286"/>
      <c r="N86" s="72"/>
      <c r="O86" s="261">
        <f t="shared" si="1"/>
        <v>0</v>
      </c>
    </row>
    <row r="87" spans="1:15" ht="14.4">
      <c r="A87" s="280" t="s">
        <v>1789</v>
      </c>
      <c r="B87" s="287" t="s">
        <v>174</v>
      </c>
      <c r="C87" s="282" t="s">
        <v>1788</v>
      </c>
      <c r="D87" s="281" t="s">
        <v>553</v>
      </c>
      <c r="E87" s="281" t="s">
        <v>33</v>
      </c>
      <c r="F87" s="283">
        <v>42646</v>
      </c>
      <c r="G87" s="283">
        <v>42675</v>
      </c>
      <c r="H87" s="283">
        <v>42713</v>
      </c>
      <c r="I87" s="284">
        <v>434393.2</v>
      </c>
      <c r="J87" s="284">
        <f>+I87+I86</f>
        <v>464393.2</v>
      </c>
      <c r="K87" s="284">
        <v>310000</v>
      </c>
      <c r="L87" s="285">
        <f>+J87-K87</f>
        <v>154393.20000000001</v>
      </c>
      <c r="M87" s="286"/>
      <c r="N87" s="72"/>
      <c r="O87" s="261">
        <f t="shared" si="1"/>
        <v>0</v>
      </c>
    </row>
    <row r="88" spans="1:15" ht="14.4">
      <c r="A88" s="280" t="s">
        <v>1557</v>
      </c>
      <c r="B88" s="281" t="s">
        <v>93</v>
      </c>
      <c r="C88" s="282" t="s">
        <v>1556</v>
      </c>
      <c r="D88" s="281" t="s">
        <v>69</v>
      </c>
      <c r="E88" s="281" t="s">
        <v>33</v>
      </c>
      <c r="F88" s="283">
        <v>42554</v>
      </c>
      <c r="G88" s="283">
        <v>42611</v>
      </c>
      <c r="H88" s="283">
        <v>42661</v>
      </c>
      <c r="I88" s="284">
        <v>357000</v>
      </c>
      <c r="J88" s="284"/>
      <c r="K88" s="284"/>
      <c r="L88" s="285"/>
      <c r="M88" s="286"/>
      <c r="N88" s="72"/>
      <c r="O88" s="261">
        <f t="shared" si="1"/>
        <v>0</v>
      </c>
    </row>
    <row r="89" spans="1:15" ht="14.4">
      <c r="A89" s="280" t="s">
        <v>1790</v>
      </c>
      <c r="B89" s="287" t="s">
        <v>23</v>
      </c>
      <c r="C89" s="282" t="s">
        <v>1556</v>
      </c>
      <c r="D89" s="281" t="s">
        <v>69</v>
      </c>
      <c r="E89" s="281" t="s">
        <v>33</v>
      </c>
      <c r="F89" s="283">
        <v>42554</v>
      </c>
      <c r="G89" s="283">
        <v>42611</v>
      </c>
      <c r="H89" s="283">
        <v>42634</v>
      </c>
      <c r="I89" s="284">
        <v>16985.64</v>
      </c>
      <c r="J89" s="284"/>
      <c r="K89" s="284"/>
      <c r="L89" s="285"/>
      <c r="M89" s="286"/>
      <c r="N89" s="72"/>
      <c r="O89" s="261">
        <f t="shared" si="1"/>
        <v>0</v>
      </c>
    </row>
    <row r="90" spans="1:15" ht="14.4">
      <c r="A90" s="280" t="s">
        <v>1791</v>
      </c>
      <c r="B90" s="287" t="s">
        <v>28</v>
      </c>
      <c r="C90" s="282" t="s">
        <v>1556</v>
      </c>
      <c r="D90" s="281" t="s">
        <v>69</v>
      </c>
      <c r="E90" s="281" t="s">
        <v>33</v>
      </c>
      <c r="F90" s="283">
        <v>42554</v>
      </c>
      <c r="G90" s="283">
        <v>42611</v>
      </c>
      <c r="H90" s="283">
        <v>42634</v>
      </c>
      <c r="I90" s="284">
        <v>5716.14</v>
      </c>
      <c r="J90" s="284">
        <f>+I90+I89+I88</f>
        <v>379701.78</v>
      </c>
      <c r="K90" s="284">
        <v>310000</v>
      </c>
      <c r="L90" s="284">
        <f>+J90-K90</f>
        <v>69701.780000000028</v>
      </c>
      <c r="M90" s="286"/>
      <c r="N90" s="72"/>
      <c r="O90" s="261">
        <f t="shared" si="1"/>
        <v>0</v>
      </c>
    </row>
    <row r="91" spans="1:15" ht="14.4">
      <c r="A91" s="280" t="s">
        <v>1593</v>
      </c>
      <c r="B91" s="287" t="s">
        <v>23</v>
      </c>
      <c r="C91" s="282" t="s">
        <v>1591</v>
      </c>
      <c r="D91" s="281" t="s">
        <v>1590</v>
      </c>
      <c r="E91" s="281" t="s">
        <v>33</v>
      </c>
      <c r="F91" s="283">
        <v>42513</v>
      </c>
      <c r="G91" s="283">
        <v>42529</v>
      </c>
      <c r="H91" s="283">
        <v>42562</v>
      </c>
      <c r="I91" s="284">
        <v>40344.129999999997</v>
      </c>
      <c r="J91" s="284"/>
      <c r="K91" s="284"/>
      <c r="L91" s="284"/>
      <c r="M91" s="286"/>
      <c r="N91" s="72"/>
      <c r="O91" s="261">
        <f t="shared" si="1"/>
        <v>0</v>
      </c>
    </row>
    <row r="92" spans="1:15" ht="14.4">
      <c r="A92" s="280" t="s">
        <v>1592</v>
      </c>
      <c r="B92" s="281" t="s">
        <v>28</v>
      </c>
      <c r="C92" s="282" t="s">
        <v>1591</v>
      </c>
      <c r="D92" s="281" t="s">
        <v>1590</v>
      </c>
      <c r="E92" s="281" t="s">
        <v>33</v>
      </c>
      <c r="F92" s="283">
        <v>42513</v>
      </c>
      <c r="G92" s="283">
        <v>42529</v>
      </c>
      <c r="H92" s="283">
        <v>42608</v>
      </c>
      <c r="I92" s="284">
        <v>372254.42</v>
      </c>
      <c r="J92" s="284">
        <f>+I92+I91</f>
        <v>412598.55</v>
      </c>
      <c r="K92" s="284">
        <v>310000</v>
      </c>
      <c r="L92" s="285">
        <f>+J92-K92</f>
        <v>102598.54999999999</v>
      </c>
      <c r="M92" s="286"/>
      <c r="N92" s="72"/>
      <c r="O92" s="261">
        <f t="shared" si="1"/>
        <v>0</v>
      </c>
    </row>
    <row r="93" spans="1:15" ht="14.4">
      <c r="A93" s="280" t="s">
        <v>1589</v>
      </c>
      <c r="B93" s="287" t="s">
        <v>23</v>
      </c>
      <c r="C93" s="282" t="s">
        <v>1585</v>
      </c>
      <c r="D93" s="281" t="s">
        <v>1584</v>
      </c>
      <c r="E93" s="281" t="s">
        <v>33</v>
      </c>
      <c r="F93" s="283">
        <v>42508</v>
      </c>
      <c r="G93" s="283">
        <v>42529</v>
      </c>
      <c r="H93" s="283">
        <v>42562</v>
      </c>
      <c r="I93" s="284">
        <v>126213.49</v>
      </c>
      <c r="J93" s="284"/>
      <c r="K93" s="284"/>
      <c r="L93" s="285"/>
      <c r="M93" s="286"/>
      <c r="N93" s="72"/>
      <c r="O93" s="261">
        <f t="shared" si="1"/>
        <v>0</v>
      </c>
    </row>
    <row r="94" spans="1:15" ht="14.4">
      <c r="A94" s="280" t="s">
        <v>1588</v>
      </c>
      <c r="B94" s="287" t="s">
        <v>174</v>
      </c>
      <c r="C94" s="282" t="s">
        <v>1585</v>
      </c>
      <c r="D94" s="281" t="s">
        <v>1584</v>
      </c>
      <c r="E94" s="281" t="s">
        <v>33</v>
      </c>
      <c r="F94" s="283">
        <v>42508</v>
      </c>
      <c r="G94" s="283">
        <v>42529</v>
      </c>
      <c r="H94" s="283">
        <v>42562</v>
      </c>
      <c r="I94" s="284">
        <v>150000</v>
      </c>
      <c r="J94" s="284"/>
      <c r="K94" s="284"/>
      <c r="L94" s="284"/>
      <c r="M94" s="286"/>
      <c r="N94" s="72"/>
      <c r="O94" s="261">
        <f t="shared" si="1"/>
        <v>0</v>
      </c>
    </row>
    <row r="95" spans="1:15" ht="14.4">
      <c r="A95" s="280" t="s">
        <v>1587</v>
      </c>
      <c r="B95" s="287" t="s">
        <v>93</v>
      </c>
      <c r="C95" s="282" t="s">
        <v>1585</v>
      </c>
      <c r="D95" s="281" t="s">
        <v>1584</v>
      </c>
      <c r="E95" s="281" t="s">
        <v>33</v>
      </c>
      <c r="F95" s="283">
        <v>42508</v>
      </c>
      <c r="G95" s="283">
        <v>42529</v>
      </c>
      <c r="H95" s="283">
        <v>42562</v>
      </c>
      <c r="I95" s="284">
        <v>17500</v>
      </c>
      <c r="J95" s="284"/>
      <c r="K95" s="284"/>
      <c r="L95" s="284"/>
      <c r="M95" s="286"/>
      <c r="N95" s="72"/>
      <c r="O95" s="261">
        <f t="shared" si="1"/>
        <v>0</v>
      </c>
    </row>
    <row r="96" spans="1:15" ht="14.4">
      <c r="A96" s="280" t="s">
        <v>1586</v>
      </c>
      <c r="B96" s="287" t="s">
        <v>36</v>
      </c>
      <c r="C96" s="282" t="s">
        <v>1585</v>
      </c>
      <c r="D96" s="281" t="s">
        <v>1584</v>
      </c>
      <c r="E96" s="281" t="s">
        <v>33</v>
      </c>
      <c r="F96" s="283">
        <v>42508</v>
      </c>
      <c r="G96" s="283">
        <v>42529</v>
      </c>
      <c r="H96" s="283">
        <v>42562</v>
      </c>
      <c r="I96" s="284">
        <v>83959.41</v>
      </c>
      <c r="J96" s="284">
        <f>SUM(I93:I96)</f>
        <v>377672.9</v>
      </c>
      <c r="K96" s="284">
        <v>310000</v>
      </c>
      <c r="L96" s="284">
        <f>+J96-K96</f>
        <v>67672.900000000023</v>
      </c>
      <c r="M96" s="286"/>
      <c r="N96" s="72"/>
      <c r="O96" s="261">
        <f t="shared" si="1"/>
        <v>0</v>
      </c>
    </row>
    <row r="97" spans="1:15" ht="14.4">
      <c r="A97" s="280" t="s">
        <v>1792</v>
      </c>
      <c r="B97" s="287" t="s">
        <v>28</v>
      </c>
      <c r="C97" s="282" t="s">
        <v>1793</v>
      </c>
      <c r="D97" s="281" t="s">
        <v>626</v>
      </c>
      <c r="E97" s="281" t="s">
        <v>33</v>
      </c>
      <c r="F97" s="283">
        <v>42630</v>
      </c>
      <c r="G97" s="283">
        <v>42724</v>
      </c>
      <c r="H97" s="283">
        <v>42731</v>
      </c>
      <c r="I97" s="284">
        <v>412706.45</v>
      </c>
      <c r="J97" s="284">
        <f>+I97</f>
        <v>412706.45</v>
      </c>
      <c r="K97" s="284">
        <v>310000</v>
      </c>
      <c r="L97" s="284">
        <f>+J97-K97</f>
        <v>102706.45000000001</v>
      </c>
      <c r="M97" s="286"/>
      <c r="N97" s="72"/>
      <c r="O97" s="261">
        <f t="shared" si="1"/>
        <v>0</v>
      </c>
    </row>
    <row r="98" spans="1:15" ht="14.4">
      <c r="A98" s="280" t="s">
        <v>1583</v>
      </c>
      <c r="B98" s="281" t="s">
        <v>28</v>
      </c>
      <c r="C98" s="282" t="s">
        <v>1582</v>
      </c>
      <c r="D98" s="281" t="s">
        <v>313</v>
      </c>
      <c r="E98" s="281" t="s">
        <v>313</v>
      </c>
      <c r="F98" s="283">
        <v>42395</v>
      </c>
      <c r="G98" s="283">
        <v>42487</v>
      </c>
      <c r="H98" s="283">
        <v>42509</v>
      </c>
      <c r="I98" s="284">
        <v>100000</v>
      </c>
      <c r="J98" s="284"/>
      <c r="K98" s="284"/>
      <c r="L98" s="285"/>
      <c r="M98" s="286"/>
      <c r="N98" s="72"/>
      <c r="O98" s="261">
        <f t="shared" si="1"/>
        <v>0</v>
      </c>
    </row>
    <row r="99" spans="1:15" ht="14.4">
      <c r="A99" s="280" t="s">
        <v>1644</v>
      </c>
      <c r="B99" s="287" t="s">
        <v>245</v>
      </c>
      <c r="C99" s="282" t="s">
        <v>1582</v>
      </c>
      <c r="D99" s="281" t="s">
        <v>313</v>
      </c>
      <c r="E99" s="281" t="s">
        <v>313</v>
      </c>
      <c r="F99" s="283">
        <v>42395</v>
      </c>
      <c r="G99" s="283">
        <v>42502</v>
      </c>
      <c r="H99" s="283">
        <v>42515</v>
      </c>
      <c r="I99" s="284">
        <f>300000+5000</f>
        <v>305000</v>
      </c>
      <c r="J99" s="284"/>
      <c r="K99" s="284"/>
      <c r="L99" s="285"/>
      <c r="M99" s="286"/>
      <c r="N99" s="72"/>
      <c r="O99" s="261">
        <f t="shared" si="1"/>
        <v>0</v>
      </c>
    </row>
    <row r="100" spans="1:15" ht="14.4">
      <c r="A100" s="280" t="s">
        <v>1643</v>
      </c>
      <c r="B100" s="281" t="s">
        <v>28</v>
      </c>
      <c r="C100" s="282" t="s">
        <v>1582</v>
      </c>
      <c r="D100" s="281" t="s">
        <v>313</v>
      </c>
      <c r="E100" s="281" t="s">
        <v>313</v>
      </c>
      <c r="F100" s="283">
        <v>42395</v>
      </c>
      <c r="G100" s="283">
        <v>42502</v>
      </c>
      <c r="H100" s="283">
        <v>42515</v>
      </c>
      <c r="I100" s="284">
        <v>145514.92000000001</v>
      </c>
      <c r="J100" s="284">
        <f>+I100+I99+I98</f>
        <v>550514.92000000004</v>
      </c>
      <c r="K100" s="284">
        <v>310000</v>
      </c>
      <c r="L100" s="285">
        <f>+J100-K100</f>
        <v>240514.92000000004</v>
      </c>
      <c r="M100" s="286"/>
      <c r="N100" s="72"/>
      <c r="O100" s="261">
        <f t="shared" si="1"/>
        <v>0</v>
      </c>
    </row>
    <row r="101" spans="1:15" ht="14.4">
      <c r="A101" s="280" t="s">
        <v>1642</v>
      </c>
      <c r="B101" s="287" t="s">
        <v>23</v>
      </c>
      <c r="C101" s="282" t="s">
        <v>1639</v>
      </c>
      <c r="D101" s="281" t="s">
        <v>69</v>
      </c>
      <c r="E101" s="281" t="s">
        <v>33</v>
      </c>
      <c r="F101" s="283">
        <v>42418</v>
      </c>
      <c r="G101" s="283">
        <v>42464</v>
      </c>
      <c r="H101" s="283">
        <v>42480</v>
      </c>
      <c r="I101" s="284">
        <v>5014.82</v>
      </c>
      <c r="J101" s="284"/>
      <c r="K101" s="284"/>
      <c r="L101" s="285"/>
      <c r="M101" s="286"/>
      <c r="N101" s="72"/>
      <c r="O101" s="261">
        <f t="shared" si="1"/>
        <v>0</v>
      </c>
    </row>
    <row r="102" spans="1:15" ht="14.4">
      <c r="A102" s="280" t="s">
        <v>1641</v>
      </c>
      <c r="B102" s="287" t="s">
        <v>174</v>
      </c>
      <c r="C102" s="282" t="s">
        <v>1639</v>
      </c>
      <c r="D102" s="281" t="s">
        <v>69</v>
      </c>
      <c r="E102" s="281" t="s">
        <v>33</v>
      </c>
      <c r="F102" s="283">
        <v>42418</v>
      </c>
      <c r="G102" s="283">
        <v>42464</v>
      </c>
      <c r="H102" s="283">
        <v>42480</v>
      </c>
      <c r="I102" s="284">
        <v>304655.45</v>
      </c>
      <c r="J102" s="284"/>
      <c r="K102" s="284"/>
      <c r="L102" s="285"/>
      <c r="M102" s="286"/>
      <c r="N102" s="72"/>
      <c r="O102" s="261">
        <f t="shared" si="1"/>
        <v>0</v>
      </c>
    </row>
    <row r="103" spans="1:15" ht="14.4">
      <c r="A103" s="280" t="s">
        <v>1640</v>
      </c>
      <c r="B103" s="281" t="s">
        <v>250</v>
      </c>
      <c r="C103" s="282" t="s">
        <v>1639</v>
      </c>
      <c r="D103" s="281" t="s">
        <v>69</v>
      </c>
      <c r="E103" s="281" t="s">
        <v>33</v>
      </c>
      <c r="F103" s="283">
        <v>42418</v>
      </c>
      <c r="G103" s="283">
        <v>42542</v>
      </c>
      <c r="H103" s="283">
        <v>42551</v>
      </c>
      <c r="I103" s="284">
        <v>7000</v>
      </c>
      <c r="J103" s="284">
        <f>+I103+I102+I101</f>
        <v>316670.27</v>
      </c>
      <c r="K103" s="284">
        <v>310000</v>
      </c>
      <c r="L103" s="285">
        <f>+J103-K103</f>
        <v>6670.2700000000186</v>
      </c>
      <c r="M103" s="286"/>
      <c r="N103" s="72"/>
      <c r="O103" s="261">
        <f t="shared" si="1"/>
        <v>0</v>
      </c>
    </row>
    <row r="104" spans="1:15" ht="14.4">
      <c r="A104" s="280" t="s">
        <v>2667</v>
      </c>
      <c r="B104" s="281" t="s">
        <v>174</v>
      </c>
      <c r="C104" s="282" t="s">
        <v>2668</v>
      </c>
      <c r="D104" s="281" t="s">
        <v>1806</v>
      </c>
      <c r="E104" s="281" t="s">
        <v>313</v>
      </c>
      <c r="F104" s="283">
        <v>42694</v>
      </c>
      <c r="G104" s="283">
        <v>44193</v>
      </c>
      <c r="H104" s="283">
        <v>44340</v>
      </c>
      <c r="I104" s="284">
        <v>333726.3</v>
      </c>
      <c r="J104" s="284">
        <f>+I104</f>
        <v>333726.3</v>
      </c>
      <c r="K104" s="284">
        <v>310000</v>
      </c>
      <c r="L104" s="285">
        <f>+J104-K104</f>
        <v>23726.299999999988</v>
      </c>
      <c r="M104" s="286"/>
      <c r="N104" s="72"/>
      <c r="O104" s="261">
        <f t="shared" si="1"/>
        <v>0</v>
      </c>
    </row>
    <row r="105" spans="1:15" ht="14.4">
      <c r="A105" s="280" t="s">
        <v>1638</v>
      </c>
      <c r="B105" s="287" t="s">
        <v>23</v>
      </c>
      <c r="C105" s="282" t="s">
        <v>1635</v>
      </c>
      <c r="D105" s="281" t="s">
        <v>1637</v>
      </c>
      <c r="E105" s="281" t="s">
        <v>33</v>
      </c>
      <c r="F105" s="283">
        <v>42397</v>
      </c>
      <c r="G105" s="283">
        <v>42479</v>
      </c>
      <c r="H105" s="283">
        <v>42509</v>
      </c>
      <c r="I105" s="284">
        <v>89130.950000000012</v>
      </c>
      <c r="J105" s="284"/>
      <c r="K105" s="284"/>
      <c r="L105" s="285"/>
      <c r="M105" s="286"/>
      <c r="N105" s="72"/>
      <c r="O105" s="261">
        <f t="shared" si="1"/>
        <v>0</v>
      </c>
    </row>
    <row r="106" spans="1:15" ht="14.4">
      <c r="A106" s="280" t="s">
        <v>1636</v>
      </c>
      <c r="B106" s="287" t="s">
        <v>174</v>
      </c>
      <c r="C106" s="282" t="s">
        <v>1635</v>
      </c>
      <c r="D106" s="281" t="s">
        <v>165</v>
      </c>
      <c r="E106" s="281" t="s">
        <v>33</v>
      </c>
      <c r="F106" s="283">
        <v>42397</v>
      </c>
      <c r="G106" s="283">
        <v>42479</v>
      </c>
      <c r="H106" s="283">
        <v>42509</v>
      </c>
      <c r="I106" s="284">
        <v>641525.01</v>
      </c>
      <c r="J106" s="284">
        <f>+I106+I105</f>
        <v>730655.96</v>
      </c>
      <c r="K106" s="284">
        <v>310000</v>
      </c>
      <c r="L106" s="285">
        <f>+J106-K106</f>
        <v>420655.95999999996</v>
      </c>
      <c r="M106" s="286"/>
      <c r="N106" s="72"/>
      <c r="O106" s="261">
        <f t="shared" si="1"/>
        <v>8951.9599999999627</v>
      </c>
    </row>
    <row r="107" spans="1:15" ht="14.4">
      <c r="A107" s="280" t="s">
        <v>1581</v>
      </c>
      <c r="B107" s="287" t="s">
        <v>28</v>
      </c>
      <c r="C107" s="282" t="s">
        <v>1576</v>
      </c>
      <c r="D107" s="281" t="s">
        <v>38</v>
      </c>
      <c r="E107" s="281" t="s">
        <v>33</v>
      </c>
      <c r="F107" s="283">
        <v>42507</v>
      </c>
      <c r="G107" s="283">
        <v>42552</v>
      </c>
      <c r="H107" s="283">
        <v>42580</v>
      </c>
      <c r="I107" s="284">
        <v>198862.87</v>
      </c>
      <c r="J107" s="284"/>
      <c r="K107" s="284"/>
      <c r="L107" s="285"/>
      <c r="M107" s="286"/>
      <c r="N107" s="72"/>
      <c r="O107" s="261">
        <f t="shared" si="1"/>
        <v>0</v>
      </c>
    </row>
    <row r="108" spans="1:15" ht="14.4">
      <c r="A108" s="280" t="s">
        <v>1580</v>
      </c>
      <c r="B108" s="287" t="s">
        <v>245</v>
      </c>
      <c r="C108" s="282" t="s">
        <v>1576</v>
      </c>
      <c r="D108" s="281" t="s">
        <v>38</v>
      </c>
      <c r="E108" s="281" t="s">
        <v>33</v>
      </c>
      <c r="F108" s="283">
        <v>42507</v>
      </c>
      <c r="G108" s="283">
        <v>42538</v>
      </c>
      <c r="H108" s="283">
        <v>42566</v>
      </c>
      <c r="I108" s="284">
        <v>144000</v>
      </c>
      <c r="J108" s="284"/>
      <c r="K108" s="284"/>
      <c r="L108" s="285"/>
      <c r="M108" s="286"/>
      <c r="N108" s="72"/>
      <c r="O108" s="261">
        <f t="shared" si="1"/>
        <v>0</v>
      </c>
    </row>
    <row r="109" spans="1:15" ht="14.4">
      <c r="A109" s="280" t="s">
        <v>1579</v>
      </c>
      <c r="B109" s="281" t="s">
        <v>23</v>
      </c>
      <c r="C109" s="282" t="s">
        <v>1576</v>
      </c>
      <c r="D109" s="281" t="s">
        <v>38</v>
      </c>
      <c r="E109" s="281" t="s">
        <v>33</v>
      </c>
      <c r="F109" s="283">
        <v>42507</v>
      </c>
      <c r="G109" s="283">
        <v>42538</v>
      </c>
      <c r="H109" s="283">
        <v>42558</v>
      </c>
      <c r="I109" s="284">
        <v>15000</v>
      </c>
      <c r="J109" s="284"/>
      <c r="K109" s="284"/>
      <c r="L109" s="285"/>
      <c r="M109" s="286"/>
      <c r="N109" s="72"/>
      <c r="O109" s="261">
        <f t="shared" si="1"/>
        <v>0</v>
      </c>
    </row>
    <row r="110" spans="1:15" ht="14.4">
      <c r="A110" s="280" t="s">
        <v>1578</v>
      </c>
      <c r="B110" s="287" t="s">
        <v>23</v>
      </c>
      <c r="C110" s="282" t="s">
        <v>1576</v>
      </c>
      <c r="D110" s="281" t="s">
        <v>38</v>
      </c>
      <c r="E110" s="281" t="s">
        <v>33</v>
      </c>
      <c r="F110" s="283">
        <v>42507</v>
      </c>
      <c r="G110" s="283">
        <v>42552</v>
      </c>
      <c r="H110" s="283">
        <v>42587</v>
      </c>
      <c r="I110" s="284">
        <v>39180.480000000003</v>
      </c>
      <c r="J110" s="284"/>
      <c r="K110" s="284"/>
      <c r="L110" s="284"/>
      <c r="M110" s="286"/>
      <c r="N110" s="72"/>
      <c r="O110" s="261">
        <f t="shared" si="1"/>
        <v>0</v>
      </c>
    </row>
    <row r="111" spans="1:15" ht="14.4">
      <c r="A111" s="280" t="s">
        <v>1577</v>
      </c>
      <c r="B111" s="287" t="s">
        <v>50</v>
      </c>
      <c r="C111" s="282" t="s">
        <v>1576</v>
      </c>
      <c r="D111" s="281" t="s">
        <v>38</v>
      </c>
      <c r="E111" s="281" t="s">
        <v>33</v>
      </c>
      <c r="F111" s="283">
        <v>42507</v>
      </c>
      <c r="G111" s="283">
        <v>42552</v>
      </c>
      <c r="H111" s="283">
        <v>42587</v>
      </c>
      <c r="I111" s="284">
        <v>7000</v>
      </c>
      <c r="J111" s="284">
        <f>SUM(I107:I111)</f>
        <v>404043.35</v>
      </c>
      <c r="K111" s="284">
        <v>310000</v>
      </c>
      <c r="L111" s="284">
        <f>+J111-K111</f>
        <v>94043.349999999977</v>
      </c>
      <c r="M111" s="286"/>
      <c r="N111" s="72"/>
      <c r="O111" s="261">
        <f t="shared" si="1"/>
        <v>0</v>
      </c>
    </row>
    <row r="112" spans="1:15" ht="14.4">
      <c r="A112" s="280" t="s">
        <v>1831</v>
      </c>
      <c r="B112" s="281" t="s">
        <v>23</v>
      </c>
      <c r="C112" s="282" t="s">
        <v>1832</v>
      </c>
      <c r="D112" s="281" t="s">
        <v>25</v>
      </c>
      <c r="E112" s="281" t="s">
        <v>26</v>
      </c>
      <c r="F112" s="283">
        <v>42676</v>
      </c>
      <c r="G112" s="283">
        <v>42759</v>
      </c>
      <c r="H112" s="283">
        <v>42761</v>
      </c>
      <c r="I112" s="284">
        <v>81606.36</v>
      </c>
      <c r="J112" s="284"/>
      <c r="K112" s="284"/>
      <c r="L112" s="285"/>
      <c r="M112" s="286"/>
      <c r="N112" s="72"/>
      <c r="O112" s="261">
        <f t="shared" si="1"/>
        <v>0</v>
      </c>
    </row>
    <row r="113" spans="1:15" ht="14.4">
      <c r="A113" s="280" t="s">
        <v>1833</v>
      </c>
      <c r="B113" s="281" t="s">
        <v>28</v>
      </c>
      <c r="C113" s="282" t="s">
        <v>1832</v>
      </c>
      <c r="D113" s="281" t="s">
        <v>25</v>
      </c>
      <c r="E113" s="281" t="s">
        <v>26</v>
      </c>
      <c r="F113" s="283">
        <v>42676</v>
      </c>
      <c r="G113" s="283">
        <v>42759</v>
      </c>
      <c r="H113" s="283">
        <v>42761</v>
      </c>
      <c r="I113" s="284">
        <v>235000</v>
      </c>
      <c r="J113" s="284">
        <f>+I113+I112</f>
        <v>316606.36</v>
      </c>
      <c r="K113" s="284">
        <v>310000</v>
      </c>
      <c r="L113" s="285">
        <f>+J113-K113</f>
        <v>6606.359999999986</v>
      </c>
      <c r="M113" s="286"/>
      <c r="N113" s="72"/>
      <c r="O113" s="261">
        <f t="shared" si="1"/>
        <v>0</v>
      </c>
    </row>
    <row r="114" spans="1:15" ht="14.4">
      <c r="A114" s="280" t="s">
        <v>1634</v>
      </c>
      <c r="B114" s="287" t="s">
        <v>140</v>
      </c>
      <c r="C114" s="282" t="s">
        <v>1573</v>
      </c>
      <c r="D114" s="281" t="s">
        <v>290</v>
      </c>
      <c r="E114" s="281" t="s">
        <v>33</v>
      </c>
      <c r="F114" s="283">
        <v>42471</v>
      </c>
      <c r="G114" s="283">
        <v>42501</v>
      </c>
      <c r="H114" s="283">
        <v>42534</v>
      </c>
      <c r="I114" s="284">
        <v>550000</v>
      </c>
      <c r="J114" s="284"/>
      <c r="K114" s="284"/>
      <c r="L114" s="284"/>
      <c r="M114" s="286"/>
      <c r="N114" s="72"/>
      <c r="O114" s="261">
        <f t="shared" si="1"/>
        <v>0</v>
      </c>
    </row>
    <row r="115" spans="1:15" ht="14.4">
      <c r="A115" s="280" t="s">
        <v>1575</v>
      </c>
      <c r="B115" s="287" t="s">
        <v>30</v>
      </c>
      <c r="C115" s="282" t="s">
        <v>1573</v>
      </c>
      <c r="D115" s="281" t="s">
        <v>290</v>
      </c>
      <c r="E115" s="281" t="s">
        <v>33</v>
      </c>
      <c r="F115" s="283">
        <v>42471</v>
      </c>
      <c r="G115" s="283">
        <v>42513</v>
      </c>
      <c r="H115" s="283">
        <v>42563</v>
      </c>
      <c r="I115" s="284">
        <v>20454.95</v>
      </c>
      <c r="J115" s="284"/>
      <c r="K115" s="284"/>
      <c r="L115" s="284"/>
      <c r="M115" s="286"/>
      <c r="N115" s="72"/>
      <c r="O115" s="261">
        <f t="shared" si="1"/>
        <v>0</v>
      </c>
    </row>
    <row r="116" spans="1:15" ht="14.4">
      <c r="A116" s="280" t="s">
        <v>1574</v>
      </c>
      <c r="B116" s="287" t="s">
        <v>28</v>
      </c>
      <c r="C116" s="282" t="s">
        <v>1573</v>
      </c>
      <c r="D116" s="281" t="s">
        <v>290</v>
      </c>
      <c r="E116" s="281" t="s">
        <v>33</v>
      </c>
      <c r="F116" s="283">
        <v>42471</v>
      </c>
      <c r="G116" s="283">
        <v>42513</v>
      </c>
      <c r="H116" s="283">
        <v>42563</v>
      </c>
      <c r="I116" s="284">
        <v>23446.59</v>
      </c>
      <c r="J116" s="284">
        <f>SUM(I114:I116)</f>
        <v>593901.53999999992</v>
      </c>
      <c r="K116" s="284">
        <v>310000</v>
      </c>
      <c r="L116" s="284">
        <f>+J116-K116</f>
        <v>283901.53999999992</v>
      </c>
      <c r="M116" s="286"/>
      <c r="N116" s="72"/>
      <c r="O116" s="261">
        <f t="shared" si="1"/>
        <v>0</v>
      </c>
    </row>
    <row r="117" spans="1:15" ht="14.4">
      <c r="A117" s="280" t="s">
        <v>1633</v>
      </c>
      <c r="B117" s="287" t="s">
        <v>93</v>
      </c>
      <c r="C117" s="282" t="s">
        <v>1571</v>
      </c>
      <c r="D117" s="281" t="s">
        <v>25</v>
      </c>
      <c r="E117" s="281" t="s">
        <v>26</v>
      </c>
      <c r="F117" s="283">
        <v>42424</v>
      </c>
      <c r="G117" s="283">
        <v>42475</v>
      </c>
      <c r="H117" s="283">
        <v>42475</v>
      </c>
      <c r="I117" s="284">
        <v>294000</v>
      </c>
      <c r="J117" s="284"/>
      <c r="K117" s="284"/>
      <c r="L117" s="284"/>
      <c r="M117" s="286"/>
      <c r="N117" s="72"/>
      <c r="O117" s="261">
        <f t="shared" si="1"/>
        <v>0</v>
      </c>
    </row>
    <row r="118" spans="1:15" ht="14.4">
      <c r="A118" s="280" t="s">
        <v>1632</v>
      </c>
      <c r="B118" s="287" t="s">
        <v>23</v>
      </c>
      <c r="C118" s="282" t="s">
        <v>1571</v>
      </c>
      <c r="D118" s="281" t="s">
        <v>25</v>
      </c>
      <c r="E118" s="281" t="s">
        <v>33</v>
      </c>
      <c r="F118" s="283">
        <v>42424</v>
      </c>
      <c r="G118" s="283">
        <v>42530</v>
      </c>
      <c r="H118" s="283">
        <v>42541</v>
      </c>
      <c r="I118" s="284">
        <v>56225.36</v>
      </c>
      <c r="J118" s="284"/>
      <c r="K118" s="284"/>
      <c r="L118" s="284"/>
      <c r="M118" s="286"/>
      <c r="N118" s="72"/>
      <c r="O118" s="261">
        <f t="shared" si="1"/>
        <v>0</v>
      </c>
    </row>
    <row r="119" spans="1:15" ht="14.4">
      <c r="A119" s="280" t="s">
        <v>1572</v>
      </c>
      <c r="B119" s="287" t="s">
        <v>30</v>
      </c>
      <c r="C119" s="282" t="s">
        <v>1571</v>
      </c>
      <c r="D119" s="281" t="s">
        <v>26</v>
      </c>
      <c r="E119" s="281" t="s">
        <v>33</v>
      </c>
      <c r="F119" s="283">
        <v>42424</v>
      </c>
      <c r="G119" s="283">
        <v>42551</v>
      </c>
      <c r="H119" s="283">
        <v>42576</v>
      </c>
      <c r="I119" s="284">
        <v>105000</v>
      </c>
      <c r="J119" s="284">
        <f>SUM(I117:I119)</f>
        <v>455225.36</v>
      </c>
      <c r="K119" s="284">
        <v>310000</v>
      </c>
      <c r="L119" s="285">
        <f>+J119-K119</f>
        <v>145225.35999999999</v>
      </c>
      <c r="M119" s="286"/>
      <c r="N119" s="72"/>
      <c r="O119" s="261">
        <f t="shared" si="1"/>
        <v>0</v>
      </c>
    </row>
    <row r="120" spans="1:15" ht="14.4">
      <c r="A120" s="280" t="s">
        <v>1631</v>
      </c>
      <c r="B120" s="287" t="s">
        <v>30</v>
      </c>
      <c r="C120" s="282" t="s">
        <v>1567</v>
      </c>
      <c r="D120" s="281" t="s">
        <v>1566</v>
      </c>
      <c r="E120" s="281" t="s">
        <v>33</v>
      </c>
      <c r="F120" s="283">
        <v>42426</v>
      </c>
      <c r="G120" s="283">
        <v>42461</v>
      </c>
      <c r="H120" s="283">
        <v>42480</v>
      </c>
      <c r="I120" s="284">
        <v>103000</v>
      </c>
      <c r="J120" s="284"/>
      <c r="K120" s="284"/>
      <c r="L120" s="285"/>
      <c r="M120" s="286"/>
      <c r="N120" s="72"/>
      <c r="O120" s="261">
        <f t="shared" si="1"/>
        <v>0</v>
      </c>
    </row>
    <row r="121" spans="1:15" ht="14.4">
      <c r="A121" s="280" t="s">
        <v>1568</v>
      </c>
      <c r="B121" s="287" t="s">
        <v>28</v>
      </c>
      <c r="C121" s="282" t="s">
        <v>1567</v>
      </c>
      <c r="D121" s="281" t="s">
        <v>1566</v>
      </c>
      <c r="E121" s="281" t="s">
        <v>33</v>
      </c>
      <c r="F121" s="283">
        <v>42426</v>
      </c>
      <c r="G121" s="283">
        <v>42461</v>
      </c>
      <c r="H121" s="283">
        <v>42480</v>
      </c>
      <c r="I121" s="284">
        <v>862013.66</v>
      </c>
      <c r="J121" s="284"/>
      <c r="K121" s="284"/>
      <c r="L121" s="285"/>
      <c r="M121" s="286"/>
      <c r="N121" s="72"/>
      <c r="O121" s="261">
        <f t="shared" si="1"/>
        <v>0</v>
      </c>
    </row>
    <row r="122" spans="1:15" ht="14.4">
      <c r="A122" s="280" t="s">
        <v>1568</v>
      </c>
      <c r="B122" s="287" t="s">
        <v>28</v>
      </c>
      <c r="C122" s="282" t="s">
        <v>1567</v>
      </c>
      <c r="D122" s="281" t="s">
        <v>1566</v>
      </c>
      <c r="E122" s="281" t="s">
        <v>33</v>
      </c>
      <c r="F122" s="283">
        <v>42426</v>
      </c>
      <c r="G122" s="283">
        <v>42461</v>
      </c>
      <c r="H122" s="283">
        <v>42480</v>
      </c>
      <c r="I122" s="284">
        <v>417806.34</v>
      </c>
      <c r="J122" s="284"/>
      <c r="K122" s="284"/>
      <c r="L122" s="285"/>
      <c r="M122" s="286"/>
      <c r="N122" s="72"/>
      <c r="O122" s="261">
        <f t="shared" si="1"/>
        <v>0</v>
      </c>
    </row>
    <row r="123" spans="1:15" ht="14.4">
      <c r="A123" s="280" t="s">
        <v>1570</v>
      </c>
      <c r="B123" s="287" t="s">
        <v>23</v>
      </c>
      <c r="C123" s="282" t="s">
        <v>1567</v>
      </c>
      <c r="D123" s="281" t="s">
        <v>1566</v>
      </c>
      <c r="E123" s="281" t="s">
        <v>33</v>
      </c>
      <c r="F123" s="283">
        <v>42426</v>
      </c>
      <c r="G123" s="283">
        <v>42524</v>
      </c>
      <c r="H123" s="283">
        <v>42563</v>
      </c>
      <c r="I123" s="284">
        <v>25335.99</v>
      </c>
      <c r="J123" s="284"/>
      <c r="K123" s="284"/>
      <c r="L123" s="285"/>
      <c r="M123" s="286"/>
      <c r="N123" s="72"/>
      <c r="O123" s="261">
        <f t="shared" si="1"/>
        <v>0</v>
      </c>
    </row>
    <row r="124" spans="1:15" ht="14.4">
      <c r="A124" s="280" t="s">
        <v>1569</v>
      </c>
      <c r="B124" s="287" t="s">
        <v>28</v>
      </c>
      <c r="C124" s="282" t="s">
        <v>1567</v>
      </c>
      <c r="D124" s="281" t="s">
        <v>1566</v>
      </c>
      <c r="E124" s="281" t="s">
        <v>33</v>
      </c>
      <c r="F124" s="283">
        <v>42426</v>
      </c>
      <c r="G124" s="283">
        <v>42524</v>
      </c>
      <c r="H124" s="283">
        <v>42563</v>
      </c>
      <c r="I124" s="284">
        <v>96142.02</v>
      </c>
      <c r="J124" s="284"/>
      <c r="K124" s="284"/>
      <c r="L124" s="285"/>
      <c r="M124" s="286"/>
      <c r="N124" s="72"/>
      <c r="O124" s="261">
        <f t="shared" si="1"/>
        <v>0</v>
      </c>
    </row>
    <row r="125" spans="1:15" ht="14.4">
      <c r="A125" s="280" t="s">
        <v>1568</v>
      </c>
      <c r="B125" s="287" t="s">
        <v>28</v>
      </c>
      <c r="C125" s="282" t="s">
        <v>1567</v>
      </c>
      <c r="D125" s="281" t="s">
        <v>1566</v>
      </c>
      <c r="E125" s="281" t="s">
        <v>33</v>
      </c>
      <c r="F125" s="283">
        <v>42426</v>
      </c>
      <c r="G125" s="283">
        <v>42461</v>
      </c>
      <c r="H125" s="283">
        <v>42548</v>
      </c>
      <c r="I125" s="284">
        <v>6000</v>
      </c>
      <c r="J125" s="284">
        <f>SUM(I120:I125)</f>
        <v>1510298.01</v>
      </c>
      <c r="K125" s="284">
        <v>310000</v>
      </c>
      <c r="L125" s="285">
        <f>+J125-K125</f>
        <v>1200298.01</v>
      </c>
      <c r="M125" s="286"/>
      <c r="N125" s="72"/>
      <c r="O125" s="261">
        <f t="shared" si="1"/>
        <v>788594.01</v>
      </c>
    </row>
    <row r="126" spans="1:15" ht="14.4">
      <c r="A126" s="280" t="s">
        <v>1630</v>
      </c>
      <c r="B126" s="287" t="s">
        <v>30</v>
      </c>
      <c r="C126" s="282" t="s">
        <v>1628</v>
      </c>
      <c r="D126" s="281" t="s">
        <v>153</v>
      </c>
      <c r="E126" s="281" t="s">
        <v>33</v>
      </c>
      <c r="F126" s="283">
        <v>42401</v>
      </c>
      <c r="G126" s="283">
        <v>42461</v>
      </c>
      <c r="H126" s="283">
        <v>42485</v>
      </c>
      <c r="I126" s="284">
        <v>153000</v>
      </c>
      <c r="J126" s="284"/>
      <c r="K126" s="284"/>
      <c r="L126" s="285"/>
      <c r="M126" s="286"/>
      <c r="N126" s="72"/>
      <c r="O126" s="261">
        <f t="shared" si="1"/>
        <v>0</v>
      </c>
    </row>
    <row r="127" spans="1:15" ht="14.4">
      <c r="A127" s="280" t="s">
        <v>1629</v>
      </c>
      <c r="B127" s="281" t="s">
        <v>174</v>
      </c>
      <c r="C127" s="282" t="s">
        <v>1628</v>
      </c>
      <c r="D127" s="281" t="s">
        <v>153</v>
      </c>
      <c r="E127" s="281" t="s">
        <v>33</v>
      </c>
      <c r="F127" s="283">
        <v>42401</v>
      </c>
      <c r="G127" s="283">
        <v>42461</v>
      </c>
      <c r="H127" s="283">
        <v>42485</v>
      </c>
      <c r="I127" s="284">
        <v>197819.16</v>
      </c>
      <c r="J127" s="284">
        <f>+I127+I126</f>
        <v>350819.16000000003</v>
      </c>
      <c r="K127" s="284">
        <v>310000</v>
      </c>
      <c r="L127" s="285">
        <f>+J127-K127</f>
        <v>40819.160000000033</v>
      </c>
      <c r="M127" s="286"/>
      <c r="N127" s="72"/>
      <c r="O127" s="261">
        <f t="shared" si="1"/>
        <v>0</v>
      </c>
    </row>
    <row r="128" spans="1:15" ht="14.4">
      <c r="A128" s="280" t="s">
        <v>1565</v>
      </c>
      <c r="B128" s="281" t="s">
        <v>23</v>
      </c>
      <c r="C128" s="282" t="s">
        <v>1563</v>
      </c>
      <c r="D128" s="281" t="s">
        <v>26</v>
      </c>
      <c r="E128" s="281" t="s">
        <v>25</v>
      </c>
      <c r="F128" s="283">
        <v>42530</v>
      </c>
      <c r="G128" s="283">
        <v>42613</v>
      </c>
      <c r="H128" s="283">
        <v>42629</v>
      </c>
      <c r="I128" s="284">
        <v>97152.98</v>
      </c>
      <c r="J128" s="284"/>
      <c r="K128" s="284"/>
      <c r="L128" s="285"/>
      <c r="M128" s="286"/>
      <c r="N128" s="72"/>
      <c r="O128" s="261">
        <f t="shared" si="1"/>
        <v>0</v>
      </c>
    </row>
    <row r="129" spans="1:15" ht="14.4">
      <c r="A129" s="280" t="s">
        <v>1564</v>
      </c>
      <c r="B129" s="287" t="s">
        <v>28</v>
      </c>
      <c r="C129" s="282" t="s">
        <v>1563</v>
      </c>
      <c r="D129" s="281" t="s">
        <v>26</v>
      </c>
      <c r="E129" s="281" t="s">
        <v>25</v>
      </c>
      <c r="F129" s="283">
        <v>42530</v>
      </c>
      <c r="G129" s="283">
        <v>42613</v>
      </c>
      <c r="H129" s="283">
        <v>42629</v>
      </c>
      <c r="I129" s="284">
        <v>283551.5</v>
      </c>
      <c r="J129" s="284">
        <f>+I129+I128</f>
        <v>380704.48</v>
      </c>
      <c r="K129" s="284">
        <v>310000</v>
      </c>
      <c r="L129" s="284">
        <f>+J129-K129</f>
        <v>70704.479999999981</v>
      </c>
      <c r="M129" s="286"/>
      <c r="N129" s="72"/>
      <c r="O129" s="261">
        <f t="shared" si="1"/>
        <v>0</v>
      </c>
    </row>
    <row r="130" spans="1:15" ht="14.4">
      <c r="A130" s="280" t="s">
        <v>1794</v>
      </c>
      <c r="B130" s="287" t="s">
        <v>28</v>
      </c>
      <c r="C130" s="282" t="s">
        <v>1795</v>
      </c>
      <c r="D130" s="281" t="s">
        <v>38</v>
      </c>
      <c r="E130" s="281" t="s">
        <v>33</v>
      </c>
      <c r="F130" s="283">
        <v>42468</v>
      </c>
      <c r="G130" s="283">
        <v>42675</v>
      </c>
      <c r="H130" s="283">
        <v>42678</v>
      </c>
      <c r="I130" s="284">
        <v>294163.95</v>
      </c>
      <c r="J130" s="284"/>
      <c r="K130" s="284"/>
      <c r="L130" s="284"/>
      <c r="M130" s="286"/>
      <c r="N130" s="72"/>
      <c r="O130" s="261">
        <f t="shared" si="1"/>
        <v>0</v>
      </c>
    </row>
    <row r="131" spans="1:15" ht="14.4">
      <c r="A131" s="280" t="s">
        <v>1796</v>
      </c>
      <c r="B131" s="287" t="s">
        <v>23</v>
      </c>
      <c r="C131" s="282" t="s">
        <v>1795</v>
      </c>
      <c r="D131" s="281" t="s">
        <v>38</v>
      </c>
      <c r="E131" s="281" t="s">
        <v>33</v>
      </c>
      <c r="F131" s="283">
        <v>42468</v>
      </c>
      <c r="G131" s="283">
        <v>42675</v>
      </c>
      <c r="H131" s="283">
        <v>42678</v>
      </c>
      <c r="I131" s="284">
        <v>201148.43</v>
      </c>
      <c r="J131" s="284">
        <f>+I131+I130</f>
        <v>495312.38</v>
      </c>
      <c r="K131" s="284">
        <v>310000</v>
      </c>
      <c r="L131" s="284">
        <f>+J131-K131</f>
        <v>185312.38</v>
      </c>
      <c r="M131" s="286"/>
      <c r="N131" s="72"/>
      <c r="O131" s="261">
        <f t="shared" si="1"/>
        <v>0</v>
      </c>
    </row>
    <row r="132" spans="1:15" ht="14.4">
      <c r="A132" s="280" t="s">
        <v>1662</v>
      </c>
      <c r="B132" s="287" t="s">
        <v>23</v>
      </c>
      <c r="C132" s="282" t="s">
        <v>1660</v>
      </c>
      <c r="D132" s="281" t="s">
        <v>606</v>
      </c>
      <c r="E132" s="281" t="s">
        <v>33</v>
      </c>
      <c r="F132" s="283">
        <v>42402</v>
      </c>
      <c r="G132" s="283">
        <v>42430</v>
      </c>
      <c r="H132" s="283">
        <v>42451</v>
      </c>
      <c r="I132" s="284">
        <v>6200.7</v>
      </c>
      <c r="J132" s="284"/>
      <c r="K132" s="284"/>
      <c r="L132" s="285"/>
      <c r="M132" s="286"/>
      <c r="N132" s="72"/>
      <c r="O132" s="261">
        <f t="shared" si="1"/>
        <v>0</v>
      </c>
    </row>
    <row r="133" spans="1:15" ht="14.4">
      <c r="A133" s="280" t="s">
        <v>1661</v>
      </c>
      <c r="B133" s="281" t="s">
        <v>174</v>
      </c>
      <c r="C133" s="282" t="s">
        <v>1660</v>
      </c>
      <c r="D133" s="281" t="s">
        <v>606</v>
      </c>
      <c r="E133" s="281" t="s">
        <v>33</v>
      </c>
      <c r="F133" s="283">
        <v>42402</v>
      </c>
      <c r="G133" s="283">
        <v>42430</v>
      </c>
      <c r="H133" s="283">
        <v>42451</v>
      </c>
      <c r="I133" s="284">
        <v>510000</v>
      </c>
      <c r="J133" s="284">
        <f>+I133+I132</f>
        <v>516200.7</v>
      </c>
      <c r="K133" s="284">
        <v>310000</v>
      </c>
      <c r="L133" s="285">
        <f>+J133-K133</f>
        <v>206200.7</v>
      </c>
      <c r="M133" s="286"/>
      <c r="N133" s="72"/>
      <c r="O133" s="261">
        <f t="shared" si="1"/>
        <v>0</v>
      </c>
    </row>
    <row r="134" spans="1:15" ht="14.4">
      <c r="A134" s="280" t="s">
        <v>1627</v>
      </c>
      <c r="B134" s="287" t="s">
        <v>23</v>
      </c>
      <c r="C134" s="282" t="s">
        <v>1623</v>
      </c>
      <c r="D134" s="281" t="s">
        <v>1622</v>
      </c>
      <c r="E134" s="281" t="s">
        <v>33</v>
      </c>
      <c r="F134" s="283">
        <v>42389</v>
      </c>
      <c r="G134" s="283">
        <v>42494</v>
      </c>
      <c r="H134" s="283">
        <v>42534</v>
      </c>
      <c r="I134" s="284">
        <v>85000</v>
      </c>
      <c r="J134" s="284"/>
      <c r="K134" s="284"/>
      <c r="L134" s="285"/>
      <c r="M134" s="286"/>
      <c r="N134" s="72"/>
      <c r="O134" s="261">
        <f t="shared" si="1"/>
        <v>0</v>
      </c>
    </row>
    <row r="135" spans="1:15" ht="14.4">
      <c r="A135" s="280" t="s">
        <v>1626</v>
      </c>
      <c r="B135" s="281" t="s">
        <v>36</v>
      </c>
      <c r="C135" s="282" t="s">
        <v>1623</v>
      </c>
      <c r="D135" s="281" t="s">
        <v>1622</v>
      </c>
      <c r="E135" s="281" t="s">
        <v>33</v>
      </c>
      <c r="F135" s="283">
        <v>42389</v>
      </c>
      <c r="G135" s="283">
        <v>42494</v>
      </c>
      <c r="H135" s="283">
        <v>42534</v>
      </c>
      <c r="I135" s="284">
        <v>227568.19</v>
      </c>
      <c r="J135" s="284"/>
      <c r="K135" s="284"/>
      <c r="L135" s="285"/>
      <c r="M135" s="286"/>
      <c r="N135" s="72"/>
      <c r="O135" s="261">
        <f t="shared" si="1"/>
        <v>0</v>
      </c>
    </row>
    <row r="136" spans="1:15" ht="14.4">
      <c r="A136" s="280" t="s">
        <v>1625</v>
      </c>
      <c r="B136" s="281" t="s">
        <v>36</v>
      </c>
      <c r="C136" s="282" t="s">
        <v>1623</v>
      </c>
      <c r="D136" s="281" t="s">
        <v>1622</v>
      </c>
      <c r="E136" s="281" t="s">
        <v>33</v>
      </c>
      <c r="F136" s="283">
        <v>42389</v>
      </c>
      <c r="G136" s="283">
        <v>42494</v>
      </c>
      <c r="H136" s="283">
        <v>42534</v>
      </c>
      <c r="I136" s="284">
        <v>8297.9</v>
      </c>
      <c r="J136" s="284"/>
      <c r="K136" s="284"/>
      <c r="L136" s="285"/>
      <c r="M136" s="286"/>
      <c r="N136" s="72"/>
      <c r="O136" s="261">
        <f t="shared" si="1"/>
        <v>0</v>
      </c>
    </row>
    <row r="137" spans="1:15" ht="14.4">
      <c r="A137" s="282" t="s">
        <v>1624</v>
      </c>
      <c r="B137" s="281" t="s">
        <v>36</v>
      </c>
      <c r="C137" s="282" t="s">
        <v>1623</v>
      </c>
      <c r="D137" s="281" t="s">
        <v>1622</v>
      </c>
      <c r="E137" s="281" t="s">
        <v>33</v>
      </c>
      <c r="F137" s="288">
        <v>42389</v>
      </c>
      <c r="G137" s="288">
        <v>42494</v>
      </c>
      <c r="H137" s="288">
        <v>42534</v>
      </c>
      <c r="I137" s="289">
        <v>64479.48</v>
      </c>
      <c r="J137" s="289">
        <f>SUM(I134:I137)</f>
        <v>385345.57</v>
      </c>
      <c r="K137" s="284">
        <v>310000</v>
      </c>
      <c r="L137" s="285">
        <f>+J137-K137</f>
        <v>75345.570000000007</v>
      </c>
      <c r="M137" s="286"/>
      <c r="N137" s="72"/>
      <c r="O137" s="261">
        <f t="shared" si="1"/>
        <v>0</v>
      </c>
    </row>
    <row r="138" spans="1:15" ht="14.4">
      <c r="A138" s="280" t="s">
        <v>1797</v>
      </c>
      <c r="B138" s="287" t="s">
        <v>23</v>
      </c>
      <c r="C138" s="282" t="s">
        <v>1798</v>
      </c>
      <c r="D138" s="281" t="s">
        <v>655</v>
      </c>
      <c r="E138" s="281" t="s">
        <v>33</v>
      </c>
      <c r="F138" s="283">
        <v>42694</v>
      </c>
      <c r="G138" s="283">
        <v>42717</v>
      </c>
      <c r="H138" s="283">
        <v>42725</v>
      </c>
      <c r="I138" s="284">
        <v>16578.95</v>
      </c>
      <c r="J138" s="284"/>
      <c r="K138" s="284"/>
      <c r="L138" s="284"/>
      <c r="M138" s="286"/>
      <c r="N138" s="72"/>
      <c r="O138" s="261">
        <f t="shared" si="1"/>
        <v>0</v>
      </c>
    </row>
    <row r="139" spans="1:15" ht="14.4">
      <c r="A139" s="280" t="s">
        <v>1799</v>
      </c>
      <c r="B139" s="287" t="s">
        <v>174</v>
      </c>
      <c r="C139" s="282" t="s">
        <v>1798</v>
      </c>
      <c r="D139" s="281" t="s">
        <v>655</v>
      </c>
      <c r="E139" s="281" t="s">
        <v>33</v>
      </c>
      <c r="F139" s="283">
        <v>42694</v>
      </c>
      <c r="G139" s="283">
        <v>42717</v>
      </c>
      <c r="H139" s="283">
        <v>42725</v>
      </c>
      <c r="I139" s="284">
        <v>370196.52</v>
      </c>
      <c r="J139" s="284">
        <f>+I139+I138</f>
        <v>386775.47000000003</v>
      </c>
      <c r="K139" s="284">
        <v>310000</v>
      </c>
      <c r="L139" s="284">
        <f>+J139-K139</f>
        <v>76775.47000000003</v>
      </c>
      <c r="M139" s="286"/>
      <c r="N139" s="72"/>
      <c r="O139" s="261">
        <f t="shared" si="1"/>
        <v>0</v>
      </c>
    </row>
    <row r="140" spans="1:15" ht="14.4">
      <c r="A140" s="280" t="s">
        <v>1834</v>
      </c>
      <c r="B140" s="287" t="s">
        <v>23</v>
      </c>
      <c r="C140" s="282" t="s">
        <v>1835</v>
      </c>
      <c r="D140" s="281" t="s">
        <v>1388</v>
      </c>
      <c r="E140" s="281" t="s">
        <v>33</v>
      </c>
      <c r="F140" s="283">
        <v>42609</v>
      </c>
      <c r="G140" s="283">
        <v>42795</v>
      </c>
      <c r="H140" s="283">
        <v>42797</v>
      </c>
      <c r="I140" s="284">
        <v>74488.070000000007</v>
      </c>
      <c r="J140" s="284"/>
      <c r="K140" s="284"/>
      <c r="L140" s="285"/>
      <c r="M140" s="286"/>
      <c r="N140" s="72"/>
      <c r="O140" s="261">
        <f t="shared" ref="O140:O149" si="2">IF($J140&gt;P$8,$J140-P$8,0)</f>
        <v>0</v>
      </c>
    </row>
    <row r="141" spans="1:15" ht="14.4">
      <c r="A141" s="280" t="s">
        <v>1836</v>
      </c>
      <c r="B141" s="281" t="s">
        <v>28</v>
      </c>
      <c r="C141" s="282" t="s">
        <v>1835</v>
      </c>
      <c r="D141" s="281" t="s">
        <v>1388</v>
      </c>
      <c r="E141" s="281" t="s">
        <v>33</v>
      </c>
      <c r="F141" s="283">
        <v>42609</v>
      </c>
      <c r="G141" s="283">
        <v>42795</v>
      </c>
      <c r="H141" s="283">
        <v>42797</v>
      </c>
      <c r="I141" s="284">
        <v>253973.83</v>
      </c>
      <c r="J141" s="284">
        <f>+I141+I140</f>
        <v>328461.90000000002</v>
      </c>
      <c r="K141" s="284">
        <v>310000</v>
      </c>
      <c r="L141" s="285">
        <f>+J141-K141</f>
        <v>18461.900000000023</v>
      </c>
      <c r="M141" s="286"/>
      <c r="N141" s="72"/>
      <c r="O141" s="261">
        <f t="shared" si="2"/>
        <v>0</v>
      </c>
    </row>
    <row r="142" spans="1:15" ht="14.4">
      <c r="A142" s="280" t="s">
        <v>1562</v>
      </c>
      <c r="B142" s="287" t="s">
        <v>23</v>
      </c>
      <c r="C142" s="282" t="s">
        <v>1560</v>
      </c>
      <c r="D142" s="281" t="s">
        <v>69</v>
      </c>
      <c r="E142" s="281" t="s">
        <v>33</v>
      </c>
      <c r="F142" s="283">
        <v>42380</v>
      </c>
      <c r="G142" s="283">
        <v>42530</v>
      </c>
      <c r="H142" s="283">
        <v>42548</v>
      </c>
      <c r="I142" s="284">
        <v>38619.07</v>
      </c>
      <c r="J142" s="284"/>
      <c r="K142" s="284"/>
      <c r="L142" s="285"/>
      <c r="M142" s="286"/>
      <c r="N142" s="72"/>
      <c r="O142" s="261">
        <f t="shared" si="2"/>
        <v>0</v>
      </c>
    </row>
    <row r="143" spans="1:15" ht="14.4">
      <c r="A143" s="280" t="s">
        <v>1561</v>
      </c>
      <c r="B143" s="281" t="s">
        <v>28</v>
      </c>
      <c r="C143" s="282" t="s">
        <v>1560</v>
      </c>
      <c r="D143" s="281" t="s">
        <v>69</v>
      </c>
      <c r="E143" s="281" t="s">
        <v>33</v>
      </c>
      <c r="F143" s="283">
        <v>42380</v>
      </c>
      <c r="G143" s="283">
        <v>42530</v>
      </c>
      <c r="H143" s="283">
        <v>42548</v>
      </c>
      <c r="I143" s="284">
        <v>622239.63</v>
      </c>
      <c r="J143" s="284"/>
      <c r="K143" s="284"/>
      <c r="L143" s="285"/>
      <c r="M143" s="286"/>
      <c r="N143" s="72"/>
      <c r="O143" s="261">
        <f t="shared" si="2"/>
        <v>0</v>
      </c>
    </row>
    <row r="144" spans="1:15" ht="14.4">
      <c r="A144" s="280" t="s">
        <v>1562</v>
      </c>
      <c r="B144" s="281" t="s">
        <v>23</v>
      </c>
      <c r="C144" s="282" t="s">
        <v>1560</v>
      </c>
      <c r="D144" s="281" t="s">
        <v>69</v>
      </c>
      <c r="E144" s="281" t="s">
        <v>33</v>
      </c>
      <c r="F144" s="283">
        <v>42380</v>
      </c>
      <c r="G144" s="283">
        <v>42530</v>
      </c>
      <c r="H144" s="283">
        <v>42548</v>
      </c>
      <c r="I144" s="284">
        <v>55087.07957934904</v>
      </c>
      <c r="J144" s="284"/>
      <c r="K144" s="284"/>
      <c r="L144" s="285"/>
      <c r="M144" s="286"/>
      <c r="N144" s="72"/>
      <c r="O144" s="261">
        <f t="shared" si="2"/>
        <v>0</v>
      </c>
    </row>
    <row r="145" spans="1:15" ht="14.4">
      <c r="A145" s="282" t="s">
        <v>1561</v>
      </c>
      <c r="B145" s="281" t="s">
        <v>28</v>
      </c>
      <c r="C145" s="282" t="s">
        <v>1560</v>
      </c>
      <c r="D145" s="281" t="s">
        <v>69</v>
      </c>
      <c r="E145" s="281" t="s">
        <v>33</v>
      </c>
      <c r="F145" s="288">
        <v>42380</v>
      </c>
      <c r="G145" s="288">
        <v>42530</v>
      </c>
      <c r="H145" s="288">
        <v>42548</v>
      </c>
      <c r="I145" s="289">
        <v>35024.0904206509</v>
      </c>
      <c r="J145" s="289">
        <f>SUM(I142:I145)</f>
        <v>750969.86999999988</v>
      </c>
      <c r="K145" s="284">
        <v>310000</v>
      </c>
      <c r="L145" s="285">
        <f>+J145-K145</f>
        <v>440969.86999999988</v>
      </c>
      <c r="M145" s="286"/>
      <c r="N145" s="72"/>
      <c r="O145" s="261">
        <f t="shared" si="2"/>
        <v>29265.869999999879</v>
      </c>
    </row>
    <row r="146" spans="1:15" ht="14.4">
      <c r="A146" s="282" t="s">
        <v>1621</v>
      </c>
      <c r="B146" s="287" t="s">
        <v>30</v>
      </c>
      <c r="C146" s="282" t="s">
        <v>1619</v>
      </c>
      <c r="D146" s="281" t="s">
        <v>1618</v>
      </c>
      <c r="E146" s="281" t="s">
        <v>33</v>
      </c>
      <c r="F146" s="288">
        <v>42435</v>
      </c>
      <c r="G146" s="288">
        <v>42492</v>
      </c>
      <c r="H146" s="288">
        <v>42515</v>
      </c>
      <c r="I146" s="289">
        <v>55000</v>
      </c>
      <c r="J146" s="289"/>
      <c r="K146" s="284"/>
      <c r="L146" s="285"/>
      <c r="M146" s="286"/>
      <c r="N146" s="72"/>
      <c r="O146" s="261">
        <f t="shared" si="2"/>
        <v>0</v>
      </c>
    </row>
    <row r="147" spans="1:15" ht="14.4">
      <c r="A147" s="280" t="s">
        <v>1620</v>
      </c>
      <c r="B147" s="281" t="s">
        <v>28</v>
      </c>
      <c r="C147" s="282" t="s">
        <v>1619</v>
      </c>
      <c r="D147" s="281" t="s">
        <v>1618</v>
      </c>
      <c r="E147" s="281" t="s">
        <v>33</v>
      </c>
      <c r="F147" s="283">
        <v>42435</v>
      </c>
      <c r="G147" s="283">
        <v>42492</v>
      </c>
      <c r="H147" s="283">
        <v>42515</v>
      </c>
      <c r="I147" s="284">
        <f>781742.71+1671.64</f>
        <v>783414.35</v>
      </c>
      <c r="J147" s="284">
        <f>+I147+I146</f>
        <v>838414.35</v>
      </c>
      <c r="K147" s="284">
        <v>310000</v>
      </c>
      <c r="L147" s="285">
        <f>+J147-K147</f>
        <v>528414.35</v>
      </c>
      <c r="M147" s="286"/>
      <c r="N147" s="72"/>
      <c r="O147" s="261">
        <f t="shared" si="2"/>
        <v>116710.34999999998</v>
      </c>
    </row>
    <row r="148" spans="1:15" ht="14.4">
      <c r="A148" s="282" t="s">
        <v>1837</v>
      </c>
      <c r="B148" s="287" t="s">
        <v>23</v>
      </c>
      <c r="C148" s="282" t="s">
        <v>1838</v>
      </c>
      <c r="D148" s="281" t="s">
        <v>1839</v>
      </c>
      <c r="E148" s="281" t="s">
        <v>33</v>
      </c>
      <c r="F148" s="288">
        <v>42728</v>
      </c>
      <c r="G148" s="288">
        <v>42749</v>
      </c>
      <c r="H148" s="288">
        <v>42781</v>
      </c>
      <c r="I148" s="289">
        <v>33193.31</v>
      </c>
      <c r="J148" s="289"/>
      <c r="K148" s="284"/>
      <c r="L148" s="285"/>
      <c r="M148" s="286"/>
      <c r="N148" s="72"/>
      <c r="O148" s="261">
        <f t="shared" si="2"/>
        <v>0</v>
      </c>
    </row>
    <row r="149" spans="1:15" ht="14.4">
      <c r="A149" s="280" t="s">
        <v>1840</v>
      </c>
      <c r="B149" s="281" t="s">
        <v>174</v>
      </c>
      <c r="C149" s="282" t="s">
        <v>1838</v>
      </c>
      <c r="D149" s="281" t="s">
        <v>1839</v>
      </c>
      <c r="E149" s="281" t="s">
        <v>33</v>
      </c>
      <c r="F149" s="283">
        <v>42728</v>
      </c>
      <c r="G149" s="283">
        <v>42749</v>
      </c>
      <c r="H149" s="283">
        <v>42781</v>
      </c>
      <c r="I149" s="284">
        <v>437675.87</v>
      </c>
      <c r="J149" s="284"/>
      <c r="K149" s="284"/>
      <c r="L149" s="285"/>
      <c r="M149" s="286"/>
      <c r="N149" s="72"/>
      <c r="O149" s="261">
        <f t="shared" si="2"/>
        <v>0</v>
      </c>
    </row>
    <row r="150" spans="1:15" ht="14.4">
      <c r="A150" s="280" t="s">
        <v>1841</v>
      </c>
      <c r="B150" s="281" t="s">
        <v>1842</v>
      </c>
      <c r="C150" s="282" t="s">
        <v>1838</v>
      </c>
      <c r="D150" s="281" t="s">
        <v>1839</v>
      </c>
      <c r="E150" s="281" t="s">
        <v>33</v>
      </c>
      <c r="F150" s="283">
        <v>42728</v>
      </c>
      <c r="G150" s="283">
        <v>42749</v>
      </c>
      <c r="H150" s="283">
        <v>42781</v>
      </c>
      <c r="I150" s="284">
        <v>7000</v>
      </c>
      <c r="J150" s="284">
        <f>+I150+I149+I148</f>
        <v>477869.18</v>
      </c>
      <c r="K150" s="284">
        <v>310000</v>
      </c>
      <c r="L150" s="285">
        <f>+J150-K150</f>
        <v>167869.18</v>
      </c>
      <c r="M150" s="286"/>
      <c r="N150" s="72"/>
      <c r="O150" s="261">
        <f>IF($J150&gt;P$8,$J150-P$8,0)</f>
        <v>0</v>
      </c>
    </row>
    <row r="151" spans="1:15" ht="14.4">
      <c r="A151" s="280" t="s">
        <v>1862</v>
      </c>
      <c r="B151" s="281" t="s">
        <v>174</v>
      </c>
      <c r="C151" s="282" t="s">
        <v>1863</v>
      </c>
      <c r="D151" s="281" t="s">
        <v>69</v>
      </c>
      <c r="E151" s="281" t="s">
        <v>55</v>
      </c>
      <c r="F151" s="283">
        <v>42733</v>
      </c>
      <c r="G151" s="283">
        <v>43006</v>
      </c>
      <c r="H151" s="283">
        <v>43018</v>
      </c>
      <c r="I151" s="284">
        <v>427903.7</v>
      </c>
      <c r="J151" s="284">
        <f>+I151</f>
        <v>427903.7</v>
      </c>
      <c r="K151" s="284">
        <v>310000</v>
      </c>
      <c r="L151" s="285">
        <f>+J151-K151</f>
        <v>117903.70000000001</v>
      </c>
      <c r="M151" s="286"/>
      <c r="N151" s="72"/>
      <c r="O151" s="261">
        <f t="shared" ref="O151:O155" si="3">IF($J151&gt;P$8,$J151-P$8,0)</f>
        <v>0</v>
      </c>
    </row>
    <row r="152" spans="1:15" ht="14.4">
      <c r="A152" s="280" t="s">
        <v>1864</v>
      </c>
      <c r="B152" s="281" t="s">
        <v>93</v>
      </c>
      <c r="C152" s="282" t="s">
        <v>1865</v>
      </c>
      <c r="D152" s="281" t="s">
        <v>1866</v>
      </c>
      <c r="E152" s="281" t="s">
        <v>33</v>
      </c>
      <c r="F152" s="283">
        <v>42572</v>
      </c>
      <c r="G152" s="283">
        <v>42836</v>
      </c>
      <c r="H152" s="283">
        <v>42850</v>
      </c>
      <c r="I152" s="289">
        <v>353500</v>
      </c>
      <c r="J152" s="289">
        <f>+I152</f>
        <v>353500</v>
      </c>
      <c r="K152" s="284">
        <v>310000</v>
      </c>
      <c r="L152" s="285">
        <f>+J152-K152</f>
        <v>43500</v>
      </c>
      <c r="M152" s="286"/>
      <c r="N152" s="72"/>
      <c r="O152" s="261">
        <f t="shared" si="3"/>
        <v>0</v>
      </c>
    </row>
    <row r="153" spans="1:15" ht="14.4">
      <c r="A153" s="280" t="s">
        <v>1880</v>
      </c>
      <c r="B153" s="281" t="s">
        <v>23</v>
      </c>
      <c r="C153" s="282" t="s">
        <v>1865</v>
      </c>
      <c r="D153" s="281" t="s">
        <v>1881</v>
      </c>
      <c r="E153" s="281" t="s">
        <v>33</v>
      </c>
      <c r="F153" s="283">
        <v>42572</v>
      </c>
      <c r="G153" s="283">
        <v>43096</v>
      </c>
      <c r="H153" s="283">
        <v>43123</v>
      </c>
      <c r="I153" s="284">
        <v>29710.87</v>
      </c>
      <c r="J153" s="284">
        <f>I153</f>
        <v>29710.87</v>
      </c>
      <c r="K153" s="284">
        <v>0</v>
      </c>
      <c r="L153" s="285">
        <f>+J153-K153</f>
        <v>29710.87</v>
      </c>
      <c r="M153" s="286"/>
      <c r="N153" s="72"/>
      <c r="O153" s="261">
        <f t="shared" si="3"/>
        <v>0</v>
      </c>
    </row>
    <row r="154" spans="1:15" ht="14.4">
      <c r="A154" s="280" t="s">
        <v>1882</v>
      </c>
      <c r="B154" s="281" t="s">
        <v>174</v>
      </c>
      <c r="C154" s="282" t="s">
        <v>1883</v>
      </c>
      <c r="D154" s="281" t="s">
        <v>655</v>
      </c>
      <c r="E154" s="281" t="s">
        <v>33</v>
      </c>
      <c r="F154" s="283">
        <v>42601</v>
      </c>
      <c r="G154" s="283">
        <v>43059</v>
      </c>
      <c r="H154" s="283">
        <v>43129</v>
      </c>
      <c r="I154" s="284">
        <v>1010000</v>
      </c>
      <c r="J154" s="284"/>
      <c r="K154" s="284"/>
      <c r="L154" s="285"/>
      <c r="M154" s="286"/>
      <c r="N154" s="72"/>
      <c r="O154" s="261">
        <f t="shared" si="3"/>
        <v>0</v>
      </c>
    </row>
    <row r="155" spans="1:15" ht="15" thickBot="1">
      <c r="A155" s="280" t="s">
        <v>1884</v>
      </c>
      <c r="B155" s="287" t="s">
        <v>23</v>
      </c>
      <c r="C155" s="282" t="s">
        <v>1883</v>
      </c>
      <c r="D155" s="281" t="s">
        <v>655</v>
      </c>
      <c r="E155" s="281" t="s">
        <v>33</v>
      </c>
      <c r="F155" s="283">
        <v>42601</v>
      </c>
      <c r="G155" s="283">
        <v>43059</v>
      </c>
      <c r="H155" s="283">
        <v>43129</v>
      </c>
      <c r="I155" s="284">
        <v>115000</v>
      </c>
      <c r="J155" s="284">
        <f>+I155+I154</f>
        <v>1125000</v>
      </c>
      <c r="K155" s="284">
        <v>310000</v>
      </c>
      <c r="L155" s="284">
        <f t="shared" ref="L155" si="4">+J155-K155</f>
        <v>815000</v>
      </c>
      <c r="M155" s="286"/>
      <c r="N155" s="72"/>
      <c r="O155" s="261">
        <f t="shared" si="3"/>
        <v>403296</v>
      </c>
    </row>
    <row r="156" spans="1:15" ht="15" thickBot="1">
      <c r="A156" s="240" t="s">
        <v>1555</v>
      </c>
      <c r="B156" s="240"/>
      <c r="C156" s="240"/>
      <c r="D156" s="240"/>
      <c r="E156" s="240"/>
      <c r="F156" s="240"/>
      <c r="G156" s="240"/>
      <c r="H156" s="240"/>
      <c r="I156" s="253">
        <f>SUM(I10:I155)</f>
        <v>37857202.294999987</v>
      </c>
      <c r="J156" s="253">
        <f t="shared" ref="J156:L156" si="5">SUM(J10:J155)</f>
        <v>37857202.295000002</v>
      </c>
      <c r="K156" s="253">
        <f t="shared" si="5"/>
        <v>15810000</v>
      </c>
      <c r="L156" s="253">
        <f t="shared" si="5"/>
        <v>22047202.295000002</v>
      </c>
      <c r="M156" s="253"/>
      <c r="N156" s="72"/>
      <c r="O156" s="277">
        <f>SUM(O10:O155)</f>
        <v>12779825.549999999</v>
      </c>
    </row>
    <row r="158" spans="1:15">
      <c r="L158" s="313"/>
    </row>
    <row r="160" spans="1:15">
      <c r="L160" s="314"/>
    </row>
    <row r="170" spans="15:15">
      <c r="O170" s="315"/>
    </row>
  </sheetData>
  <autoFilter ref="A9:M156" xr:uid="{00000000-0009-0000-0000-000006000000}"/>
  <sortState xmlns:xlrd2="http://schemas.microsoft.com/office/spreadsheetml/2017/richdata2" ref="A10:M150">
    <sortCondition ref="C10:C150"/>
  </sortState>
  <mergeCells count="9">
    <mergeCell ref="O6:P6"/>
    <mergeCell ref="A7:M7"/>
    <mergeCell ref="A8:M8"/>
    <mergeCell ref="A3:B3"/>
    <mergeCell ref="A4:B4"/>
    <mergeCell ref="A5:B5"/>
    <mergeCell ref="C5:E5"/>
    <mergeCell ref="F5:M5"/>
    <mergeCell ref="A6:M6"/>
  </mergeCells>
  <dataValidations count="1">
    <dataValidation type="list" allowBlank="1" showInputMessage="1" showErrorMessage="1" sqref="E10:E152 B10:B155" xr:uid="{00000000-0002-0000-06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7"/>
  <sheetViews>
    <sheetView showGridLines="0" workbookViewId="0">
      <selection activeCell="A9" sqref="A9"/>
    </sheetView>
  </sheetViews>
  <sheetFormatPr baseColWidth="10" defaultRowHeight="14.4"/>
  <cols>
    <col min="1" max="1" width="19.33203125" style="72" bestFit="1" customWidth="1"/>
    <col min="2" max="2" width="21" style="72" bestFit="1" customWidth="1"/>
    <col min="3" max="3" width="29.5546875" style="72" customWidth="1"/>
    <col min="4" max="4" width="35.5546875" style="72" customWidth="1"/>
    <col min="5" max="5" width="56.33203125" style="72" customWidth="1"/>
    <col min="6" max="6" width="9.88671875" style="72" customWidth="1"/>
    <col min="7" max="8" width="9.33203125" style="72" customWidth="1"/>
    <col min="9" max="10" width="14.109375" style="72" bestFit="1" customWidth="1"/>
    <col min="11" max="11" width="14.88671875" style="72" bestFit="1" customWidth="1"/>
    <col min="12" max="12" width="14.5546875" style="72" bestFit="1" customWidth="1"/>
    <col min="13" max="13" width="15.33203125" style="72" bestFit="1" customWidth="1"/>
    <col min="14" max="14" width="11.5546875" style="72"/>
    <col min="15" max="15" width="20.109375" style="72" bestFit="1" customWidth="1"/>
    <col min="16" max="16" width="12.88671875" style="72" bestFit="1" customWidth="1"/>
    <col min="17" max="16384" width="11.5546875" style="72"/>
  </cols>
  <sheetData>
    <row r="1" spans="1:16" ht="15" thickBo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6" ht="18.600000000000001" thickBot="1">
      <c r="A2" s="146" t="s">
        <v>0</v>
      </c>
      <c r="B2" s="146"/>
      <c r="C2" s="202" t="s">
        <v>1667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16" ht="18.600000000000001" thickBot="1">
      <c r="A3" s="742" t="s">
        <v>2</v>
      </c>
      <c r="B3" s="743"/>
      <c r="C3" s="202" t="s">
        <v>612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6" ht="18.600000000000001" thickBot="1">
      <c r="A4" s="774" t="s">
        <v>1666</v>
      </c>
      <c r="B4" s="775"/>
      <c r="C4" s="202">
        <v>22.635899999999999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</row>
    <row r="5" spans="1:16" ht="18.600000000000001" thickBot="1">
      <c r="A5" s="747" t="s">
        <v>1665</v>
      </c>
      <c r="B5" s="776"/>
      <c r="C5" s="777" t="s">
        <v>1756</v>
      </c>
      <c r="D5" s="778"/>
      <c r="E5" s="779"/>
      <c r="F5" s="780"/>
      <c r="G5" s="780"/>
      <c r="H5" s="780"/>
      <c r="I5" s="780"/>
      <c r="J5" s="780"/>
      <c r="K5" s="780"/>
      <c r="L5" s="780"/>
      <c r="M5" s="781"/>
    </row>
    <row r="6" spans="1:16" ht="18.600000000000001" thickBot="1">
      <c r="A6" s="739"/>
      <c r="B6" s="740"/>
      <c r="C6" s="782"/>
      <c r="D6" s="782"/>
      <c r="E6" s="782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16" ht="18.600000000000001" thickBot="1">
      <c r="A7" s="739" t="s">
        <v>7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1"/>
    </row>
    <row r="8" spans="1:16" ht="18.600000000000001" thickBot="1">
      <c r="A8" s="753" t="s">
        <v>1688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4"/>
      <c r="O8" s="454" t="s">
        <v>1090</v>
      </c>
      <c r="P8" s="455">
        <f>'BURNING COST'!F8</f>
        <v>721704</v>
      </c>
    </row>
    <row r="9" spans="1:16" ht="29.4" thickBot="1">
      <c r="A9" s="456" t="s">
        <v>9</v>
      </c>
      <c r="B9" s="457" t="s">
        <v>10</v>
      </c>
      <c r="C9" s="458" t="s">
        <v>11</v>
      </c>
      <c r="D9" s="458" t="s">
        <v>12</v>
      </c>
      <c r="E9" s="458" t="s">
        <v>13</v>
      </c>
      <c r="F9" s="457" t="s">
        <v>14</v>
      </c>
      <c r="G9" s="457" t="s">
        <v>15</v>
      </c>
      <c r="H9" s="457" t="s">
        <v>16</v>
      </c>
      <c r="I9" s="456" t="s">
        <v>17</v>
      </c>
      <c r="J9" s="457" t="s">
        <v>18</v>
      </c>
      <c r="K9" s="458" t="s">
        <v>19</v>
      </c>
      <c r="L9" s="457" t="s">
        <v>20</v>
      </c>
      <c r="M9" s="458" t="s">
        <v>21</v>
      </c>
      <c r="O9" s="213" t="s">
        <v>1091</v>
      </c>
    </row>
    <row r="10" spans="1:16" ht="15" thickBot="1">
      <c r="A10" s="459" t="s">
        <v>2536</v>
      </c>
      <c r="B10" s="300" t="s">
        <v>174</v>
      </c>
      <c r="C10" s="301" t="s">
        <v>2537</v>
      </c>
      <c r="D10" s="302" t="s">
        <v>2538</v>
      </c>
      <c r="E10" s="300" t="s">
        <v>2295</v>
      </c>
      <c r="F10" s="460">
        <v>42957</v>
      </c>
      <c r="G10" s="460">
        <v>44614</v>
      </c>
      <c r="H10" s="460">
        <v>44629</v>
      </c>
      <c r="I10" s="461">
        <v>780000</v>
      </c>
      <c r="J10" s="462">
        <f>+I10</f>
        <v>780000</v>
      </c>
      <c r="K10" s="462">
        <v>460612</v>
      </c>
      <c r="L10" s="462">
        <f>+J10-K10</f>
        <v>319388</v>
      </c>
      <c r="M10" s="463"/>
      <c r="O10" s="464">
        <f t="shared" ref="O10" si="0">IF($J10&gt;P$8,$J10-P$8,0)</f>
        <v>58296</v>
      </c>
    </row>
    <row r="11" spans="1:16" ht="15" thickBot="1">
      <c r="A11" s="459" t="s">
        <v>2292</v>
      </c>
      <c r="B11" s="300" t="s">
        <v>174</v>
      </c>
      <c r="C11" s="301" t="s">
        <v>2293</v>
      </c>
      <c r="D11" s="302" t="s">
        <v>2294</v>
      </c>
      <c r="E11" s="300" t="s">
        <v>2295</v>
      </c>
      <c r="F11" s="460">
        <v>43040</v>
      </c>
      <c r="G11" s="460">
        <v>43563</v>
      </c>
      <c r="H11" s="460">
        <v>44011</v>
      </c>
      <c r="I11" s="461">
        <v>969788.65999999992</v>
      </c>
      <c r="J11" s="462">
        <f>+I11</f>
        <v>969788.65999999992</v>
      </c>
      <c r="K11" s="462">
        <v>460612</v>
      </c>
      <c r="L11" s="462">
        <f>+J11-K11</f>
        <v>509176.65999999992</v>
      </c>
      <c r="M11" s="463"/>
      <c r="O11" s="464">
        <f t="shared" ref="O11:O74" si="1">IF($J11&gt;P$8,$J11-P$8,0)</f>
        <v>248084.65999999992</v>
      </c>
    </row>
    <row r="12" spans="1:16" ht="15" thickBot="1">
      <c r="A12" s="459" t="s">
        <v>1855</v>
      </c>
      <c r="B12" s="300" t="s">
        <v>93</v>
      </c>
      <c r="C12" s="301" t="s">
        <v>1859</v>
      </c>
      <c r="D12" s="302" t="s">
        <v>26</v>
      </c>
      <c r="E12" s="300" t="s">
        <v>25</v>
      </c>
      <c r="F12" s="460">
        <v>42831</v>
      </c>
      <c r="G12" s="460">
        <v>43010</v>
      </c>
      <c r="H12" s="460">
        <v>43034</v>
      </c>
      <c r="I12" s="461">
        <v>614520</v>
      </c>
      <c r="J12" s="462">
        <f>+I12</f>
        <v>614520</v>
      </c>
      <c r="K12" s="462">
        <v>460612</v>
      </c>
      <c r="L12" s="462">
        <f>+J12-K12</f>
        <v>153908</v>
      </c>
      <c r="M12" s="463"/>
      <c r="O12" s="464">
        <f t="shared" si="1"/>
        <v>0</v>
      </c>
    </row>
    <row r="13" spans="1:16">
      <c r="A13" s="459" t="s">
        <v>1704</v>
      </c>
      <c r="B13" s="300" t="s">
        <v>23</v>
      </c>
      <c r="C13" s="301" t="s">
        <v>1739</v>
      </c>
      <c r="D13" s="302" t="s">
        <v>33</v>
      </c>
      <c r="E13" s="300" t="s">
        <v>59</v>
      </c>
      <c r="F13" s="460">
        <v>42838</v>
      </c>
      <c r="G13" s="460">
        <v>42853</v>
      </c>
      <c r="H13" s="460">
        <v>42892</v>
      </c>
      <c r="I13" s="465">
        <v>53000</v>
      </c>
      <c r="J13" s="466"/>
      <c r="K13" s="466"/>
      <c r="L13" s="466"/>
      <c r="M13" s="467"/>
      <c r="O13" s="464">
        <f t="shared" si="1"/>
        <v>0</v>
      </c>
    </row>
    <row r="14" spans="1:16">
      <c r="A14" s="459" t="s">
        <v>1705</v>
      </c>
      <c r="B14" s="300" t="s">
        <v>50</v>
      </c>
      <c r="C14" s="301" t="s">
        <v>1739</v>
      </c>
      <c r="D14" s="302" t="s">
        <v>33</v>
      </c>
      <c r="E14" s="300" t="s">
        <v>59</v>
      </c>
      <c r="F14" s="460">
        <v>42838</v>
      </c>
      <c r="G14" s="460">
        <v>42853</v>
      </c>
      <c r="H14" s="460">
        <v>42892</v>
      </c>
      <c r="I14" s="468">
        <v>7000</v>
      </c>
      <c r="J14" s="469"/>
      <c r="K14" s="469"/>
      <c r="L14" s="469"/>
      <c r="M14" s="470"/>
      <c r="O14" s="464">
        <f t="shared" si="1"/>
        <v>0</v>
      </c>
    </row>
    <row r="15" spans="1:16" ht="15" thickBot="1">
      <c r="A15" s="459" t="s">
        <v>1706</v>
      </c>
      <c r="B15" s="300" t="s">
        <v>28</v>
      </c>
      <c r="C15" s="301" t="s">
        <v>1739</v>
      </c>
      <c r="D15" s="302" t="s">
        <v>33</v>
      </c>
      <c r="E15" s="300" t="s">
        <v>59</v>
      </c>
      <c r="F15" s="460">
        <v>42838</v>
      </c>
      <c r="G15" s="460">
        <v>42853</v>
      </c>
      <c r="H15" s="460">
        <v>42914</v>
      </c>
      <c r="I15" s="461">
        <v>500000</v>
      </c>
      <c r="J15" s="462">
        <f>SUM(I13:I15)</f>
        <v>560000</v>
      </c>
      <c r="K15" s="462">
        <v>460612</v>
      </c>
      <c r="L15" s="462">
        <f>+J15-K15</f>
        <v>99388</v>
      </c>
      <c r="M15" s="463"/>
      <c r="O15" s="464">
        <f t="shared" si="1"/>
        <v>0</v>
      </c>
    </row>
    <row r="16" spans="1:16">
      <c r="A16" s="459" t="s">
        <v>1700</v>
      </c>
      <c r="B16" s="300" t="s">
        <v>23</v>
      </c>
      <c r="C16" s="301" t="s">
        <v>1737</v>
      </c>
      <c r="D16" s="302" t="s">
        <v>33</v>
      </c>
      <c r="E16" s="300" t="s">
        <v>1753</v>
      </c>
      <c r="F16" s="460">
        <v>42762</v>
      </c>
      <c r="G16" s="460">
        <v>42817</v>
      </c>
      <c r="H16" s="460">
        <v>42831</v>
      </c>
      <c r="I16" s="465">
        <v>111282.69</v>
      </c>
      <c r="J16" s="466"/>
      <c r="K16" s="466"/>
      <c r="L16" s="466"/>
      <c r="M16" s="467"/>
      <c r="O16" s="464">
        <f t="shared" si="1"/>
        <v>0</v>
      </c>
    </row>
    <row r="17" spans="1:15">
      <c r="A17" s="459" t="s">
        <v>1701</v>
      </c>
      <c r="B17" s="300" t="s">
        <v>174</v>
      </c>
      <c r="C17" s="301" t="s">
        <v>1737</v>
      </c>
      <c r="D17" s="302" t="s">
        <v>33</v>
      </c>
      <c r="E17" s="300" t="s">
        <v>1753</v>
      </c>
      <c r="F17" s="460">
        <v>42762</v>
      </c>
      <c r="G17" s="460">
        <v>42817</v>
      </c>
      <c r="H17" s="460">
        <v>42874</v>
      </c>
      <c r="I17" s="468">
        <v>362000</v>
      </c>
      <c r="J17" s="469"/>
      <c r="K17" s="469"/>
      <c r="L17" s="469"/>
      <c r="M17" s="470"/>
      <c r="O17" s="464">
        <f t="shared" si="1"/>
        <v>0</v>
      </c>
    </row>
    <row r="18" spans="1:15" ht="15" thickBot="1">
      <c r="A18" s="459" t="s">
        <v>1701</v>
      </c>
      <c r="B18" s="300" t="s">
        <v>174</v>
      </c>
      <c r="C18" s="301" t="s">
        <v>1737</v>
      </c>
      <c r="D18" s="302" t="s">
        <v>33</v>
      </c>
      <c r="E18" s="300" t="s">
        <v>1753</v>
      </c>
      <c r="F18" s="460">
        <v>42762</v>
      </c>
      <c r="G18" s="460">
        <v>42817</v>
      </c>
      <c r="H18" s="460">
        <v>42874</v>
      </c>
      <c r="I18" s="461">
        <v>6000</v>
      </c>
      <c r="J18" s="462">
        <f>SUM(I16:I18)</f>
        <v>479282.69</v>
      </c>
      <c r="K18" s="462">
        <v>460612</v>
      </c>
      <c r="L18" s="462">
        <f>+J18-K18</f>
        <v>18670.690000000002</v>
      </c>
      <c r="M18" s="463"/>
      <c r="O18" s="464">
        <f t="shared" si="1"/>
        <v>0</v>
      </c>
    </row>
    <row r="19" spans="1:15">
      <c r="A19" s="459" t="s">
        <v>1993</v>
      </c>
      <c r="B19" s="300" t="s">
        <v>23</v>
      </c>
      <c r="C19" s="301" t="s">
        <v>1994</v>
      </c>
      <c r="D19" s="302" t="s">
        <v>1879</v>
      </c>
      <c r="E19" s="300" t="s">
        <v>1485</v>
      </c>
      <c r="F19" s="460">
        <v>43075</v>
      </c>
      <c r="G19" s="460">
        <v>43124</v>
      </c>
      <c r="H19" s="460">
        <v>43133</v>
      </c>
      <c r="I19" s="465">
        <v>80792.52</v>
      </c>
      <c r="J19" s="466"/>
      <c r="K19" s="466"/>
      <c r="L19" s="466"/>
      <c r="M19" s="467"/>
      <c r="O19" s="464">
        <f t="shared" si="1"/>
        <v>0</v>
      </c>
    </row>
    <row r="20" spans="1:15" ht="15" thickBot="1">
      <c r="A20" s="459" t="s">
        <v>1995</v>
      </c>
      <c r="B20" s="300" t="s">
        <v>174</v>
      </c>
      <c r="C20" s="301" t="s">
        <v>1994</v>
      </c>
      <c r="D20" s="302" t="s">
        <v>33</v>
      </c>
      <c r="E20" s="300" t="s">
        <v>595</v>
      </c>
      <c r="F20" s="460">
        <v>43075</v>
      </c>
      <c r="G20" s="460">
        <v>43124</v>
      </c>
      <c r="H20" s="460">
        <v>43270</v>
      </c>
      <c r="I20" s="461">
        <v>639414</v>
      </c>
      <c r="J20" s="462">
        <f>+I20+I19</f>
        <v>720206.52</v>
      </c>
      <c r="K20" s="462">
        <v>460612</v>
      </c>
      <c r="L20" s="462">
        <f>+J20-K20</f>
        <v>259594.52000000002</v>
      </c>
      <c r="M20" s="463"/>
      <c r="O20" s="464">
        <f t="shared" si="1"/>
        <v>0</v>
      </c>
    </row>
    <row r="21" spans="1:15">
      <c r="A21" s="459" t="s">
        <v>1996</v>
      </c>
      <c r="B21" s="300" t="s">
        <v>23</v>
      </c>
      <c r="C21" s="301" t="s">
        <v>1997</v>
      </c>
      <c r="D21" s="302" t="s">
        <v>33</v>
      </c>
      <c r="E21" s="300" t="s">
        <v>38</v>
      </c>
      <c r="F21" s="460">
        <v>42762</v>
      </c>
      <c r="G21" s="460">
        <v>42929</v>
      </c>
      <c r="H21" s="460">
        <v>43228</v>
      </c>
      <c r="I21" s="465">
        <v>103000</v>
      </c>
      <c r="J21" s="466"/>
      <c r="K21" s="466"/>
      <c r="L21" s="466"/>
      <c r="M21" s="467"/>
      <c r="O21" s="464">
        <f t="shared" si="1"/>
        <v>0</v>
      </c>
    </row>
    <row r="22" spans="1:15" ht="15" thickBot="1">
      <c r="A22" s="459" t="s">
        <v>1998</v>
      </c>
      <c r="B22" s="300" t="s">
        <v>174</v>
      </c>
      <c r="C22" s="301" t="s">
        <v>1997</v>
      </c>
      <c r="D22" s="302" t="s">
        <v>33</v>
      </c>
      <c r="E22" s="300" t="s">
        <v>38</v>
      </c>
      <c r="F22" s="460">
        <v>42762</v>
      </c>
      <c r="G22" s="460">
        <v>42929</v>
      </c>
      <c r="H22" s="460">
        <v>43228</v>
      </c>
      <c r="I22" s="461">
        <v>1248462.07</v>
      </c>
      <c r="J22" s="462">
        <f>+I22+I21</f>
        <v>1351462.07</v>
      </c>
      <c r="K22" s="462">
        <v>460612</v>
      </c>
      <c r="L22" s="462">
        <f>+J22-K22</f>
        <v>890850.07000000007</v>
      </c>
      <c r="M22" s="463"/>
      <c r="O22" s="464">
        <f t="shared" si="1"/>
        <v>629758.07000000007</v>
      </c>
    </row>
    <row r="23" spans="1:15">
      <c r="A23" s="459" t="s">
        <v>1999</v>
      </c>
      <c r="B23" s="300" t="s">
        <v>1917</v>
      </c>
      <c r="C23" s="301" t="s">
        <v>2000</v>
      </c>
      <c r="D23" s="302" t="s">
        <v>33</v>
      </c>
      <c r="E23" s="300" t="s">
        <v>1975</v>
      </c>
      <c r="F23" s="460">
        <v>43045</v>
      </c>
      <c r="G23" s="460">
        <v>43073</v>
      </c>
      <c r="H23" s="460">
        <v>43147</v>
      </c>
      <c r="I23" s="465">
        <v>50000</v>
      </c>
      <c r="J23" s="466"/>
      <c r="K23" s="466"/>
      <c r="L23" s="466"/>
      <c r="M23" s="467"/>
      <c r="O23" s="464">
        <f t="shared" si="1"/>
        <v>0</v>
      </c>
    </row>
    <row r="24" spans="1:15">
      <c r="A24" s="459" t="s">
        <v>2001</v>
      </c>
      <c r="B24" s="300" t="s">
        <v>23</v>
      </c>
      <c r="C24" s="301" t="s">
        <v>2000</v>
      </c>
      <c r="D24" s="302" t="s">
        <v>1879</v>
      </c>
      <c r="E24" s="300" t="s">
        <v>1975</v>
      </c>
      <c r="F24" s="460">
        <v>43045</v>
      </c>
      <c r="G24" s="460">
        <v>43073</v>
      </c>
      <c r="H24" s="460">
        <v>43147</v>
      </c>
      <c r="I24" s="468">
        <v>38680.42</v>
      </c>
      <c r="J24" s="469"/>
      <c r="K24" s="469"/>
      <c r="L24" s="469"/>
      <c r="M24" s="470"/>
      <c r="O24" s="464">
        <f t="shared" si="1"/>
        <v>0</v>
      </c>
    </row>
    <row r="25" spans="1:15" ht="15" thickBot="1">
      <c r="A25" s="459" t="s">
        <v>2002</v>
      </c>
      <c r="B25" s="300" t="s">
        <v>93</v>
      </c>
      <c r="C25" s="301" t="s">
        <v>2000</v>
      </c>
      <c r="D25" s="302" t="s">
        <v>2070</v>
      </c>
      <c r="E25" s="300" t="s">
        <v>1975</v>
      </c>
      <c r="F25" s="460">
        <v>43045</v>
      </c>
      <c r="G25" s="460">
        <v>43173</v>
      </c>
      <c r="H25" s="460">
        <v>43265</v>
      </c>
      <c r="I25" s="461">
        <v>510000</v>
      </c>
      <c r="J25" s="462">
        <f>SUM(I23:I25)</f>
        <v>598680.42000000004</v>
      </c>
      <c r="K25" s="462">
        <v>460612</v>
      </c>
      <c r="L25" s="462">
        <f>+J25-K25</f>
        <v>138068.42000000004</v>
      </c>
      <c r="M25" s="463"/>
      <c r="O25" s="464">
        <f t="shared" si="1"/>
        <v>0</v>
      </c>
    </row>
    <row r="26" spans="1:15">
      <c r="A26" s="459" t="s">
        <v>1728</v>
      </c>
      <c r="B26" s="300" t="s">
        <v>28</v>
      </c>
      <c r="C26" s="301" t="s">
        <v>1748</v>
      </c>
      <c r="D26" s="302" t="s">
        <v>55</v>
      </c>
      <c r="E26" s="300" t="s">
        <v>69</v>
      </c>
      <c r="F26" s="460">
        <v>42971</v>
      </c>
      <c r="G26" s="460">
        <v>42982</v>
      </c>
      <c r="H26" s="460">
        <v>42984</v>
      </c>
      <c r="I26" s="465">
        <v>1137307.1299999999</v>
      </c>
      <c r="J26" s="466"/>
      <c r="K26" s="466"/>
      <c r="L26" s="466"/>
      <c r="M26" s="467"/>
      <c r="O26" s="464">
        <f t="shared" si="1"/>
        <v>0</v>
      </c>
    </row>
    <row r="27" spans="1:15">
      <c r="A27" s="459" t="s">
        <v>1729</v>
      </c>
      <c r="B27" s="300" t="s">
        <v>50</v>
      </c>
      <c r="C27" s="301" t="s">
        <v>1748</v>
      </c>
      <c r="D27" s="302" t="s">
        <v>55</v>
      </c>
      <c r="E27" s="300" t="s">
        <v>69</v>
      </c>
      <c r="F27" s="460">
        <v>42971</v>
      </c>
      <c r="G27" s="460">
        <v>42982</v>
      </c>
      <c r="H27" s="460">
        <v>42984</v>
      </c>
      <c r="I27" s="468">
        <v>50000</v>
      </c>
      <c r="J27" s="469"/>
      <c r="K27" s="469"/>
      <c r="L27" s="469"/>
      <c r="M27" s="470"/>
      <c r="O27" s="464">
        <f t="shared" si="1"/>
        <v>0</v>
      </c>
    </row>
    <row r="28" spans="1:15" ht="15" thickBot="1">
      <c r="A28" s="459" t="s">
        <v>1730</v>
      </c>
      <c r="B28" s="300" t="s">
        <v>30</v>
      </c>
      <c r="C28" s="301" t="s">
        <v>1748</v>
      </c>
      <c r="D28" s="302" t="s">
        <v>55</v>
      </c>
      <c r="E28" s="300" t="s">
        <v>69</v>
      </c>
      <c r="F28" s="460">
        <v>42971</v>
      </c>
      <c r="G28" s="460">
        <v>42982</v>
      </c>
      <c r="H28" s="460">
        <v>42984</v>
      </c>
      <c r="I28" s="461">
        <v>103000</v>
      </c>
      <c r="J28" s="462">
        <f>SUM(I26:I28)</f>
        <v>1290307.1299999999</v>
      </c>
      <c r="K28" s="462">
        <v>460612</v>
      </c>
      <c r="L28" s="462">
        <f>+J28-K28</f>
        <v>829695.12999999989</v>
      </c>
      <c r="M28" s="463"/>
      <c r="O28" s="464">
        <f t="shared" si="1"/>
        <v>568603.12999999989</v>
      </c>
    </row>
    <row r="29" spans="1:15">
      <c r="A29" s="459" t="s">
        <v>1692</v>
      </c>
      <c r="B29" s="300" t="s">
        <v>23</v>
      </c>
      <c r="C29" s="301" t="s">
        <v>1734</v>
      </c>
      <c r="D29" s="302" t="s">
        <v>33</v>
      </c>
      <c r="E29" s="300" t="s">
        <v>38</v>
      </c>
      <c r="F29" s="460">
        <v>42786</v>
      </c>
      <c r="G29" s="460">
        <v>42835</v>
      </c>
      <c r="H29" s="460">
        <v>42850</v>
      </c>
      <c r="I29" s="465">
        <v>85000</v>
      </c>
      <c r="J29" s="466"/>
      <c r="K29" s="466"/>
      <c r="L29" s="466"/>
      <c r="M29" s="467"/>
      <c r="O29" s="464">
        <f t="shared" si="1"/>
        <v>0</v>
      </c>
    </row>
    <row r="30" spans="1:15" ht="15" thickBot="1">
      <c r="A30" s="459" t="s">
        <v>1693</v>
      </c>
      <c r="B30" s="300" t="s">
        <v>36</v>
      </c>
      <c r="C30" s="301" t="s">
        <v>1734</v>
      </c>
      <c r="D30" s="302" t="s">
        <v>33</v>
      </c>
      <c r="E30" s="300" t="s">
        <v>38</v>
      </c>
      <c r="F30" s="460">
        <v>42786</v>
      </c>
      <c r="G30" s="460">
        <v>42835</v>
      </c>
      <c r="H30" s="460">
        <v>42850</v>
      </c>
      <c r="I30" s="461">
        <v>448097.08</v>
      </c>
      <c r="J30" s="462">
        <f>SUM(I29:I30)</f>
        <v>533097.08000000007</v>
      </c>
      <c r="K30" s="471">
        <v>460612</v>
      </c>
      <c r="L30" s="462">
        <f>+J30-K30</f>
        <v>72485.080000000075</v>
      </c>
      <c r="M30" s="463"/>
      <c r="O30" s="464">
        <f t="shared" si="1"/>
        <v>0</v>
      </c>
    </row>
    <row r="31" spans="1:15">
      <c r="A31" s="459" t="s">
        <v>1724</v>
      </c>
      <c r="B31" s="300" t="s">
        <v>23</v>
      </c>
      <c r="C31" s="301" t="s">
        <v>1746</v>
      </c>
      <c r="D31" s="302" t="s">
        <v>26</v>
      </c>
      <c r="E31" s="300" t="s">
        <v>25</v>
      </c>
      <c r="F31" s="460">
        <v>42900</v>
      </c>
      <c r="G31" s="460">
        <v>42930</v>
      </c>
      <c r="H31" s="460">
        <v>42963</v>
      </c>
      <c r="I31" s="465">
        <v>5100</v>
      </c>
      <c r="J31" s="466"/>
      <c r="K31" s="466"/>
      <c r="L31" s="466"/>
      <c r="M31" s="467"/>
      <c r="O31" s="464">
        <f t="shared" si="1"/>
        <v>0</v>
      </c>
    </row>
    <row r="32" spans="1:15" ht="15" thickBot="1">
      <c r="A32" s="459" t="s">
        <v>1725</v>
      </c>
      <c r="B32" s="300" t="s">
        <v>174</v>
      </c>
      <c r="C32" s="301" t="s">
        <v>1746</v>
      </c>
      <c r="D32" s="302" t="s">
        <v>26</v>
      </c>
      <c r="E32" s="300" t="s">
        <v>25</v>
      </c>
      <c r="F32" s="460">
        <v>42900</v>
      </c>
      <c r="G32" s="460">
        <v>42930</v>
      </c>
      <c r="H32" s="460">
        <v>42964</v>
      </c>
      <c r="I32" s="461">
        <v>1510000</v>
      </c>
      <c r="J32" s="462">
        <f>SUM(I31:I32)</f>
        <v>1515100</v>
      </c>
      <c r="K32" s="462">
        <v>460612</v>
      </c>
      <c r="L32" s="462">
        <f>+J32-K32</f>
        <v>1054488</v>
      </c>
      <c r="M32" s="463"/>
      <c r="O32" s="464">
        <f t="shared" si="1"/>
        <v>793396</v>
      </c>
    </row>
    <row r="33" spans="1:15" ht="15" thickBot="1">
      <c r="A33" s="459" t="s">
        <v>2003</v>
      </c>
      <c r="B33" s="300" t="s">
        <v>36</v>
      </c>
      <c r="C33" s="301" t="s">
        <v>2004</v>
      </c>
      <c r="D33" s="302" t="s">
        <v>33</v>
      </c>
      <c r="E33" s="300" t="s">
        <v>2005</v>
      </c>
      <c r="F33" s="460">
        <v>43006</v>
      </c>
      <c r="G33" s="460">
        <v>43237</v>
      </c>
      <c r="H33" s="460">
        <v>43272</v>
      </c>
      <c r="I33" s="472">
        <v>691132.84</v>
      </c>
      <c r="J33" s="473">
        <f>+I33</f>
        <v>691132.84</v>
      </c>
      <c r="K33" s="473">
        <v>460612</v>
      </c>
      <c r="L33" s="462">
        <f>+J33-K33</f>
        <v>230520.83999999997</v>
      </c>
      <c r="M33" s="474"/>
      <c r="O33" s="464">
        <f t="shared" si="1"/>
        <v>0</v>
      </c>
    </row>
    <row r="34" spans="1:15">
      <c r="A34" s="459" t="s">
        <v>2006</v>
      </c>
      <c r="B34" s="300" t="s">
        <v>1930</v>
      </c>
      <c r="C34" s="301" t="s">
        <v>2007</v>
      </c>
      <c r="D34" s="302" t="s">
        <v>2071</v>
      </c>
      <c r="E34" s="300" t="s">
        <v>549</v>
      </c>
      <c r="F34" s="460">
        <v>43062</v>
      </c>
      <c r="G34" s="460">
        <v>43229</v>
      </c>
      <c r="H34" s="460">
        <v>43241</v>
      </c>
      <c r="I34" s="465">
        <v>170000</v>
      </c>
      <c r="J34" s="466"/>
      <c r="K34" s="466"/>
      <c r="L34" s="466"/>
      <c r="M34" s="467"/>
      <c r="O34" s="464">
        <f t="shared" si="1"/>
        <v>0</v>
      </c>
    </row>
    <row r="35" spans="1:15">
      <c r="A35" s="459" t="s">
        <v>2008</v>
      </c>
      <c r="B35" s="300" t="s">
        <v>174</v>
      </c>
      <c r="C35" s="301" t="s">
        <v>2007</v>
      </c>
      <c r="D35" s="302" t="s">
        <v>33</v>
      </c>
      <c r="E35" s="300" t="s">
        <v>2009</v>
      </c>
      <c r="F35" s="460">
        <v>43062</v>
      </c>
      <c r="G35" s="460">
        <v>43123</v>
      </c>
      <c r="H35" s="460">
        <v>43129</v>
      </c>
      <c r="I35" s="468">
        <v>289667.07</v>
      </c>
      <c r="J35" s="469"/>
      <c r="K35" s="469"/>
      <c r="L35" s="469"/>
      <c r="M35" s="470"/>
      <c r="O35" s="464">
        <f t="shared" si="1"/>
        <v>0</v>
      </c>
    </row>
    <row r="36" spans="1:15" ht="15" thickBot="1">
      <c r="A36" s="459" t="s">
        <v>2010</v>
      </c>
      <c r="B36" s="300" t="s">
        <v>23</v>
      </c>
      <c r="C36" s="301" t="s">
        <v>2007</v>
      </c>
      <c r="D36" s="302" t="s">
        <v>1879</v>
      </c>
      <c r="E36" s="300" t="s">
        <v>2009</v>
      </c>
      <c r="F36" s="460">
        <v>43062</v>
      </c>
      <c r="G36" s="460">
        <v>43123</v>
      </c>
      <c r="H36" s="460">
        <v>43129</v>
      </c>
      <c r="I36" s="461">
        <v>36714.769999999997</v>
      </c>
      <c r="J36" s="462">
        <f>SUM(I34:I36)</f>
        <v>496381.84</v>
      </c>
      <c r="K36" s="462">
        <v>460612</v>
      </c>
      <c r="L36" s="462">
        <f>+J36-K36</f>
        <v>35769.840000000026</v>
      </c>
      <c r="M36" s="463"/>
      <c r="O36" s="464">
        <f t="shared" si="1"/>
        <v>0</v>
      </c>
    </row>
    <row r="37" spans="1:15">
      <c r="A37" s="459" t="s">
        <v>1707</v>
      </c>
      <c r="B37" s="300" t="s">
        <v>23</v>
      </c>
      <c r="C37" s="301" t="s">
        <v>1740</v>
      </c>
      <c r="D37" s="302" t="s">
        <v>33</v>
      </c>
      <c r="E37" s="300" t="s">
        <v>153</v>
      </c>
      <c r="F37" s="460">
        <v>42880</v>
      </c>
      <c r="G37" s="460">
        <v>42912</v>
      </c>
      <c r="H37" s="460">
        <v>42915</v>
      </c>
      <c r="I37" s="465">
        <v>53000</v>
      </c>
      <c r="J37" s="466"/>
      <c r="K37" s="466"/>
      <c r="L37" s="466"/>
      <c r="M37" s="467"/>
      <c r="O37" s="464">
        <f t="shared" si="1"/>
        <v>0</v>
      </c>
    </row>
    <row r="38" spans="1:15">
      <c r="A38" s="459" t="s">
        <v>1708</v>
      </c>
      <c r="B38" s="300" t="s">
        <v>50</v>
      </c>
      <c r="C38" s="301" t="s">
        <v>1740</v>
      </c>
      <c r="D38" s="302" t="s">
        <v>33</v>
      </c>
      <c r="E38" s="300" t="s">
        <v>153</v>
      </c>
      <c r="F38" s="460">
        <v>42880</v>
      </c>
      <c r="G38" s="460">
        <v>42912</v>
      </c>
      <c r="H38" s="460">
        <v>42915</v>
      </c>
      <c r="I38" s="468">
        <v>7000</v>
      </c>
      <c r="J38" s="469"/>
      <c r="K38" s="469"/>
      <c r="L38" s="469"/>
      <c r="M38" s="470"/>
      <c r="O38" s="464">
        <f t="shared" si="1"/>
        <v>0</v>
      </c>
    </row>
    <row r="39" spans="1:15" ht="15" thickBot="1">
      <c r="A39" s="459" t="s">
        <v>1709</v>
      </c>
      <c r="B39" s="300" t="s">
        <v>28</v>
      </c>
      <c r="C39" s="301" t="s">
        <v>1740</v>
      </c>
      <c r="D39" s="302" t="s">
        <v>33</v>
      </c>
      <c r="E39" s="300" t="s">
        <v>153</v>
      </c>
      <c r="F39" s="460">
        <v>42880</v>
      </c>
      <c r="G39" s="460">
        <v>42912</v>
      </c>
      <c r="H39" s="460">
        <v>42915</v>
      </c>
      <c r="I39" s="461">
        <v>500000</v>
      </c>
      <c r="J39" s="462">
        <f>SUM(I37:I39)</f>
        <v>560000</v>
      </c>
      <c r="K39" s="462">
        <v>460612</v>
      </c>
      <c r="L39" s="462">
        <f>+J39-K39</f>
        <v>99388</v>
      </c>
      <c r="M39" s="463"/>
      <c r="O39" s="464">
        <f t="shared" si="1"/>
        <v>0</v>
      </c>
    </row>
    <row r="40" spans="1:15">
      <c r="A40" s="459" t="s">
        <v>2072</v>
      </c>
      <c r="B40" s="300" t="s">
        <v>174</v>
      </c>
      <c r="C40" s="301" t="s">
        <v>2076</v>
      </c>
      <c r="D40" s="302" t="s">
        <v>2071</v>
      </c>
      <c r="E40" s="300" t="s">
        <v>2077</v>
      </c>
      <c r="F40" s="460">
        <v>42961</v>
      </c>
      <c r="G40" s="460">
        <v>43119</v>
      </c>
      <c r="H40" s="460">
        <v>43130</v>
      </c>
      <c r="I40" s="465">
        <v>353928.61</v>
      </c>
      <c r="J40" s="466"/>
      <c r="K40" s="466"/>
      <c r="L40" s="466"/>
      <c r="M40" s="467"/>
      <c r="O40" s="464">
        <f t="shared" si="1"/>
        <v>0</v>
      </c>
    </row>
    <row r="41" spans="1:15">
      <c r="A41" s="459" t="s">
        <v>2073</v>
      </c>
      <c r="B41" s="300" t="s">
        <v>23</v>
      </c>
      <c r="C41" s="301" t="s">
        <v>2076</v>
      </c>
      <c r="D41" s="302" t="s">
        <v>1879</v>
      </c>
      <c r="E41" s="300" t="s">
        <v>2078</v>
      </c>
      <c r="F41" s="460">
        <v>42961</v>
      </c>
      <c r="G41" s="460">
        <v>43119</v>
      </c>
      <c r="H41" s="460">
        <v>43130</v>
      </c>
      <c r="I41" s="468">
        <v>85027.4</v>
      </c>
      <c r="J41" s="469"/>
      <c r="K41" s="469"/>
      <c r="L41" s="469"/>
      <c r="M41" s="470"/>
      <c r="O41" s="464">
        <f t="shared" si="1"/>
        <v>0</v>
      </c>
    </row>
    <row r="42" spans="1:15">
      <c r="A42" s="459" t="s">
        <v>2074</v>
      </c>
      <c r="B42" s="300" t="s">
        <v>30</v>
      </c>
      <c r="C42" s="301" t="s">
        <v>2076</v>
      </c>
      <c r="D42" s="302" t="s">
        <v>2070</v>
      </c>
      <c r="E42" s="300" t="s">
        <v>2079</v>
      </c>
      <c r="F42" s="460">
        <v>42961</v>
      </c>
      <c r="G42" s="460">
        <v>43292</v>
      </c>
      <c r="H42" s="460">
        <v>43304</v>
      </c>
      <c r="I42" s="468">
        <v>85383.62</v>
      </c>
      <c r="J42" s="469"/>
      <c r="K42" s="469"/>
      <c r="L42" s="469"/>
      <c r="M42" s="470"/>
      <c r="O42" s="464">
        <f t="shared" si="1"/>
        <v>0</v>
      </c>
    </row>
    <row r="43" spans="1:15" ht="15" thickBot="1">
      <c r="A43" s="459" t="s">
        <v>2075</v>
      </c>
      <c r="B43" s="300" t="s">
        <v>174</v>
      </c>
      <c r="C43" s="301" t="s">
        <v>2076</v>
      </c>
      <c r="D43" s="302" t="s">
        <v>33</v>
      </c>
      <c r="E43" s="300" t="s">
        <v>2079</v>
      </c>
      <c r="F43" s="460">
        <v>42961</v>
      </c>
      <c r="G43" s="460">
        <v>43292</v>
      </c>
      <c r="H43" s="460">
        <v>43304</v>
      </c>
      <c r="I43" s="461">
        <v>190656.65</v>
      </c>
      <c r="J43" s="462">
        <f>SUM(I40:I43)</f>
        <v>714996.28</v>
      </c>
      <c r="K43" s="462">
        <v>460612</v>
      </c>
      <c r="L43" s="462">
        <f>+J43-K43</f>
        <v>254384.28000000003</v>
      </c>
      <c r="M43" s="463"/>
      <c r="O43" s="464">
        <f t="shared" si="1"/>
        <v>0</v>
      </c>
    </row>
    <row r="44" spans="1:15">
      <c r="A44" s="459" t="s">
        <v>1689</v>
      </c>
      <c r="B44" s="300" t="s">
        <v>30</v>
      </c>
      <c r="C44" s="301" t="s">
        <v>1733</v>
      </c>
      <c r="D44" s="302" t="s">
        <v>33</v>
      </c>
      <c r="E44" s="300" t="s">
        <v>1751</v>
      </c>
      <c r="F44" s="460">
        <v>42791</v>
      </c>
      <c r="G44" s="460">
        <v>42797</v>
      </c>
      <c r="H44" s="460">
        <v>42804</v>
      </c>
      <c r="I44" s="465">
        <v>9046.39</v>
      </c>
      <c r="J44" s="466"/>
      <c r="K44" s="466"/>
      <c r="L44" s="466"/>
      <c r="M44" s="467"/>
      <c r="O44" s="464">
        <f t="shared" si="1"/>
        <v>0</v>
      </c>
    </row>
    <row r="45" spans="1:15">
      <c r="A45" s="459" t="s">
        <v>1690</v>
      </c>
      <c r="B45" s="300" t="s">
        <v>50</v>
      </c>
      <c r="C45" s="301" t="s">
        <v>1733</v>
      </c>
      <c r="D45" s="302" t="s">
        <v>33</v>
      </c>
      <c r="E45" s="300" t="s">
        <v>1751</v>
      </c>
      <c r="F45" s="460">
        <v>42791</v>
      </c>
      <c r="G45" s="460">
        <v>42797</v>
      </c>
      <c r="H45" s="460">
        <v>42804</v>
      </c>
      <c r="I45" s="468">
        <v>30000</v>
      </c>
      <c r="J45" s="469"/>
      <c r="K45" s="469"/>
      <c r="L45" s="469"/>
      <c r="M45" s="470"/>
      <c r="O45" s="464">
        <f t="shared" si="1"/>
        <v>0</v>
      </c>
    </row>
    <row r="46" spans="1:15">
      <c r="A46" s="459" t="s">
        <v>1691</v>
      </c>
      <c r="B46" s="300" t="s">
        <v>28</v>
      </c>
      <c r="C46" s="301" t="s">
        <v>1733</v>
      </c>
      <c r="D46" s="302" t="s">
        <v>33</v>
      </c>
      <c r="E46" s="300" t="s">
        <v>1751</v>
      </c>
      <c r="F46" s="460">
        <v>42791</v>
      </c>
      <c r="G46" s="460">
        <v>42797</v>
      </c>
      <c r="H46" s="460">
        <v>42804</v>
      </c>
      <c r="I46" s="468">
        <v>1072392.99</v>
      </c>
      <c r="J46" s="469"/>
      <c r="K46" s="469"/>
      <c r="L46" s="469"/>
      <c r="M46" s="470"/>
      <c r="O46" s="464">
        <f t="shared" si="1"/>
        <v>0</v>
      </c>
    </row>
    <row r="47" spans="1:15" ht="15" thickBot="1">
      <c r="A47" s="459" t="s">
        <v>1867</v>
      </c>
      <c r="B47" s="300" t="s">
        <v>23</v>
      </c>
      <c r="C47" s="301" t="s">
        <v>1733</v>
      </c>
      <c r="D47" s="302" t="s">
        <v>33</v>
      </c>
      <c r="E47" s="300" t="s">
        <v>1751</v>
      </c>
      <c r="F47" s="460">
        <v>42791</v>
      </c>
      <c r="G47" s="460">
        <v>42891</v>
      </c>
      <c r="H47" s="460">
        <v>42898</v>
      </c>
      <c r="I47" s="461">
        <v>5996.2400000000007</v>
      </c>
      <c r="J47" s="462">
        <f>SUM(I44:I47)</f>
        <v>1117435.6199999999</v>
      </c>
      <c r="K47" s="462">
        <v>460612</v>
      </c>
      <c r="L47" s="462">
        <f>+J47-K47</f>
        <v>656823.61999999988</v>
      </c>
      <c r="M47" s="463"/>
      <c r="O47" s="464">
        <f t="shared" si="1"/>
        <v>395731.61999999988</v>
      </c>
    </row>
    <row r="48" spans="1:15">
      <c r="A48" s="459" t="s">
        <v>1702</v>
      </c>
      <c r="B48" s="300" t="s">
        <v>93</v>
      </c>
      <c r="C48" s="301" t="s">
        <v>1738</v>
      </c>
      <c r="D48" s="302" t="s">
        <v>26</v>
      </c>
      <c r="E48" s="300" t="s">
        <v>25</v>
      </c>
      <c r="F48" s="460">
        <v>42819</v>
      </c>
      <c r="G48" s="460">
        <v>42863</v>
      </c>
      <c r="H48" s="460">
        <v>42881</v>
      </c>
      <c r="I48" s="465">
        <v>466000</v>
      </c>
      <c r="J48" s="466"/>
      <c r="K48" s="466"/>
      <c r="L48" s="466"/>
      <c r="M48" s="467"/>
      <c r="O48" s="464">
        <f t="shared" si="1"/>
        <v>0</v>
      </c>
    </row>
    <row r="49" spans="1:15">
      <c r="A49" s="459" t="s">
        <v>1703</v>
      </c>
      <c r="B49" s="300" t="s">
        <v>93</v>
      </c>
      <c r="C49" s="301" t="s">
        <v>1738</v>
      </c>
      <c r="D49" s="302" t="s">
        <v>26</v>
      </c>
      <c r="E49" s="300" t="s">
        <v>25</v>
      </c>
      <c r="F49" s="460">
        <v>42819</v>
      </c>
      <c r="G49" s="460">
        <v>42863</v>
      </c>
      <c r="H49" s="460">
        <v>42881</v>
      </c>
      <c r="I49" s="468">
        <v>443255.6</v>
      </c>
      <c r="J49" s="469"/>
      <c r="K49" s="469"/>
      <c r="L49" s="469"/>
      <c r="M49" s="470"/>
      <c r="O49" s="464">
        <f t="shared" si="1"/>
        <v>0</v>
      </c>
    </row>
    <row r="50" spans="1:15" ht="15" thickBot="1">
      <c r="A50" s="459" t="s">
        <v>1703</v>
      </c>
      <c r="B50" s="300" t="s">
        <v>93</v>
      </c>
      <c r="C50" s="301" t="s">
        <v>1738</v>
      </c>
      <c r="D50" s="302" t="s">
        <v>26</v>
      </c>
      <c r="E50" s="300" t="s">
        <v>25</v>
      </c>
      <c r="F50" s="460">
        <v>42819</v>
      </c>
      <c r="G50" s="460">
        <v>42863</v>
      </c>
      <c r="H50" s="460">
        <v>42901</v>
      </c>
      <c r="I50" s="461">
        <v>2028.4</v>
      </c>
      <c r="J50" s="462">
        <f>SUM(I48:I50)</f>
        <v>911284</v>
      </c>
      <c r="K50" s="462">
        <v>460612</v>
      </c>
      <c r="L50" s="462">
        <f>+J50-K50</f>
        <v>450672</v>
      </c>
      <c r="M50" s="463"/>
      <c r="O50" s="464">
        <f t="shared" si="1"/>
        <v>189580</v>
      </c>
    </row>
    <row r="51" spans="1:15">
      <c r="A51" s="459" t="s">
        <v>1713</v>
      </c>
      <c r="B51" s="300" t="s">
        <v>28</v>
      </c>
      <c r="C51" s="301" t="s">
        <v>1743</v>
      </c>
      <c r="D51" s="302" t="s">
        <v>55</v>
      </c>
      <c r="E51" s="300" t="s">
        <v>69</v>
      </c>
      <c r="F51" s="460">
        <v>42920</v>
      </c>
      <c r="G51" s="460">
        <v>42936</v>
      </c>
      <c r="H51" s="460">
        <v>42944</v>
      </c>
      <c r="I51" s="465">
        <v>470415.07</v>
      </c>
      <c r="J51" s="466"/>
      <c r="K51" s="466"/>
      <c r="L51" s="466"/>
      <c r="M51" s="467"/>
      <c r="O51" s="464">
        <f t="shared" si="1"/>
        <v>0</v>
      </c>
    </row>
    <row r="52" spans="1:15" ht="15" thickBot="1">
      <c r="A52" s="459" t="s">
        <v>1714</v>
      </c>
      <c r="B52" s="300" t="s">
        <v>30</v>
      </c>
      <c r="C52" s="301" t="s">
        <v>1743</v>
      </c>
      <c r="D52" s="302" t="s">
        <v>55</v>
      </c>
      <c r="E52" s="300" t="s">
        <v>69</v>
      </c>
      <c r="F52" s="460">
        <v>42920</v>
      </c>
      <c r="G52" s="460">
        <v>42936</v>
      </c>
      <c r="H52" s="460">
        <v>42944</v>
      </c>
      <c r="I52" s="461">
        <v>103000</v>
      </c>
      <c r="J52" s="462">
        <f>+I52+I51</f>
        <v>573415.07000000007</v>
      </c>
      <c r="K52" s="462">
        <v>460612</v>
      </c>
      <c r="L52" s="462">
        <f>+J52-K52</f>
        <v>112803.07000000007</v>
      </c>
      <c r="M52" s="463"/>
      <c r="O52" s="464">
        <f t="shared" si="1"/>
        <v>0</v>
      </c>
    </row>
    <row r="53" spans="1:15" ht="15" thickBot="1">
      <c r="A53" s="459" t="s">
        <v>1712</v>
      </c>
      <c r="B53" s="300" t="s">
        <v>93</v>
      </c>
      <c r="C53" s="301" t="s">
        <v>1742</v>
      </c>
      <c r="D53" s="302" t="s">
        <v>33</v>
      </c>
      <c r="E53" s="300" t="s">
        <v>1754</v>
      </c>
      <c r="F53" s="460">
        <v>42755</v>
      </c>
      <c r="G53" s="460">
        <v>42788</v>
      </c>
      <c r="H53" s="460">
        <v>42831</v>
      </c>
      <c r="I53" s="472">
        <v>506000</v>
      </c>
      <c r="J53" s="473">
        <f>+I53</f>
        <v>506000</v>
      </c>
      <c r="K53" s="473">
        <v>460612</v>
      </c>
      <c r="L53" s="462">
        <f>+J53-K53</f>
        <v>45388</v>
      </c>
      <c r="M53" s="474"/>
      <c r="O53" s="464">
        <f t="shared" si="1"/>
        <v>0</v>
      </c>
    </row>
    <row r="54" spans="1:15" ht="15" thickBot="1">
      <c r="A54" s="459" t="s">
        <v>1731</v>
      </c>
      <c r="B54" s="300" t="s">
        <v>28</v>
      </c>
      <c r="C54" s="301" t="s">
        <v>1749</v>
      </c>
      <c r="D54" s="302" t="s">
        <v>55</v>
      </c>
      <c r="E54" s="300" t="s">
        <v>38</v>
      </c>
      <c r="F54" s="460">
        <v>42877</v>
      </c>
      <c r="G54" s="460">
        <v>42992</v>
      </c>
      <c r="H54" s="460">
        <v>42998</v>
      </c>
      <c r="I54" s="472">
        <v>1300000</v>
      </c>
      <c r="J54" s="473">
        <f>+I54</f>
        <v>1300000</v>
      </c>
      <c r="K54" s="473">
        <v>460612</v>
      </c>
      <c r="L54" s="462">
        <f>+J54-K54</f>
        <v>839388</v>
      </c>
      <c r="M54" s="474"/>
      <c r="O54" s="464">
        <f t="shared" si="1"/>
        <v>578296</v>
      </c>
    </row>
    <row r="55" spans="1:15">
      <c r="A55" s="459" t="s">
        <v>1868</v>
      </c>
      <c r="B55" s="300" t="s">
        <v>23</v>
      </c>
      <c r="C55" s="301" t="s">
        <v>1869</v>
      </c>
      <c r="D55" s="302" t="s">
        <v>33</v>
      </c>
      <c r="E55" s="300" t="s">
        <v>69</v>
      </c>
      <c r="F55" s="460">
        <v>42989</v>
      </c>
      <c r="G55" s="460">
        <v>43021</v>
      </c>
      <c r="H55" s="460">
        <v>43046</v>
      </c>
      <c r="I55" s="465">
        <v>82336.72</v>
      </c>
      <c r="J55" s="466"/>
      <c r="K55" s="466"/>
      <c r="L55" s="466"/>
      <c r="M55" s="467"/>
      <c r="O55" s="464">
        <f t="shared" si="1"/>
        <v>0</v>
      </c>
    </row>
    <row r="56" spans="1:15">
      <c r="A56" s="475" t="s">
        <v>1870</v>
      </c>
      <c r="B56" s="476" t="s">
        <v>174</v>
      </c>
      <c r="C56" s="477" t="s">
        <v>1869</v>
      </c>
      <c r="D56" s="478" t="s">
        <v>33</v>
      </c>
      <c r="E56" s="476" t="s">
        <v>69</v>
      </c>
      <c r="F56" s="479">
        <v>42989</v>
      </c>
      <c r="G56" s="479">
        <v>43021</v>
      </c>
      <c r="H56" s="479">
        <v>43046</v>
      </c>
      <c r="I56" s="480">
        <v>351223.51</v>
      </c>
      <c r="J56" s="481"/>
      <c r="K56" s="481"/>
      <c r="L56" s="481"/>
      <c r="M56" s="482"/>
      <c r="O56" s="464">
        <f t="shared" si="1"/>
        <v>0</v>
      </c>
    </row>
    <row r="57" spans="1:15" ht="15" thickBot="1">
      <c r="A57" s="459" t="s">
        <v>1871</v>
      </c>
      <c r="B57" s="300" t="s">
        <v>23</v>
      </c>
      <c r="C57" s="301" t="s">
        <v>1869</v>
      </c>
      <c r="D57" s="302" t="s">
        <v>1879</v>
      </c>
      <c r="E57" s="300" t="s">
        <v>69</v>
      </c>
      <c r="F57" s="460">
        <v>42989</v>
      </c>
      <c r="G57" s="460">
        <v>43061</v>
      </c>
      <c r="H57" s="460">
        <v>43068</v>
      </c>
      <c r="I57" s="461">
        <v>45802.36</v>
      </c>
      <c r="J57" s="462">
        <f>SUM(I55:I57)</f>
        <v>479362.58999999997</v>
      </c>
      <c r="K57" s="462">
        <v>460612</v>
      </c>
      <c r="L57" s="462">
        <f>+J57-K57</f>
        <v>18750.589999999967</v>
      </c>
      <c r="M57" s="463"/>
      <c r="O57" s="464">
        <f t="shared" si="1"/>
        <v>0</v>
      </c>
    </row>
    <row r="58" spans="1:15">
      <c r="A58" s="459" t="s">
        <v>1715</v>
      </c>
      <c r="B58" s="300" t="s">
        <v>28</v>
      </c>
      <c r="C58" s="301" t="s">
        <v>1744</v>
      </c>
      <c r="D58" s="302" t="s">
        <v>33</v>
      </c>
      <c r="E58" s="300" t="s">
        <v>1755</v>
      </c>
      <c r="F58" s="460">
        <v>42858</v>
      </c>
      <c r="G58" s="460">
        <v>42898</v>
      </c>
      <c r="H58" s="460">
        <v>42902</v>
      </c>
      <c r="I58" s="465">
        <v>39647.31</v>
      </c>
      <c r="J58" s="466"/>
      <c r="K58" s="466"/>
      <c r="L58" s="466"/>
      <c r="M58" s="467"/>
      <c r="O58" s="464">
        <f t="shared" si="1"/>
        <v>0</v>
      </c>
    </row>
    <row r="59" spans="1:15">
      <c r="A59" s="459" t="s">
        <v>1716</v>
      </c>
      <c r="B59" s="300" t="s">
        <v>23</v>
      </c>
      <c r="C59" s="301" t="s">
        <v>1744</v>
      </c>
      <c r="D59" s="302" t="s">
        <v>33</v>
      </c>
      <c r="E59" s="300" t="s">
        <v>1755</v>
      </c>
      <c r="F59" s="460">
        <v>42858</v>
      </c>
      <c r="G59" s="460">
        <v>42898</v>
      </c>
      <c r="H59" s="460">
        <v>42902</v>
      </c>
      <c r="I59" s="468">
        <v>23070.04</v>
      </c>
      <c r="J59" s="469"/>
      <c r="K59" s="469"/>
      <c r="L59" s="469"/>
      <c r="M59" s="470"/>
      <c r="O59" s="464">
        <f t="shared" si="1"/>
        <v>0</v>
      </c>
    </row>
    <row r="60" spans="1:15">
      <c r="A60" s="459" t="s">
        <v>1717</v>
      </c>
      <c r="B60" s="300" t="s">
        <v>30</v>
      </c>
      <c r="C60" s="301" t="s">
        <v>1744</v>
      </c>
      <c r="D60" s="302" t="s">
        <v>33</v>
      </c>
      <c r="E60" s="300" t="s">
        <v>1755</v>
      </c>
      <c r="F60" s="460">
        <v>42858</v>
      </c>
      <c r="G60" s="460">
        <v>42934</v>
      </c>
      <c r="H60" s="460">
        <v>42942</v>
      </c>
      <c r="I60" s="468">
        <v>153000</v>
      </c>
      <c r="J60" s="469"/>
      <c r="K60" s="469"/>
      <c r="L60" s="469"/>
      <c r="M60" s="470"/>
      <c r="O60" s="464">
        <f t="shared" si="1"/>
        <v>0</v>
      </c>
    </row>
    <row r="61" spans="1:15">
      <c r="A61" s="459" t="s">
        <v>1718</v>
      </c>
      <c r="B61" s="300" t="s">
        <v>28</v>
      </c>
      <c r="C61" s="301" t="s">
        <v>1744</v>
      </c>
      <c r="D61" s="302" t="s">
        <v>33</v>
      </c>
      <c r="E61" s="300" t="s">
        <v>1755</v>
      </c>
      <c r="F61" s="460">
        <v>42858</v>
      </c>
      <c r="G61" s="460">
        <v>42934</v>
      </c>
      <c r="H61" s="460">
        <v>42942</v>
      </c>
      <c r="I61" s="468">
        <v>250000</v>
      </c>
      <c r="J61" s="469"/>
      <c r="K61" s="469"/>
      <c r="L61" s="469"/>
      <c r="M61" s="469"/>
      <c r="O61" s="464">
        <f t="shared" si="1"/>
        <v>0</v>
      </c>
    </row>
    <row r="62" spans="1:15" ht="15" thickBot="1">
      <c r="A62" s="459" t="s">
        <v>1716</v>
      </c>
      <c r="B62" s="300" t="s">
        <v>23</v>
      </c>
      <c r="C62" s="301" t="s">
        <v>1744</v>
      </c>
      <c r="D62" s="302" t="s">
        <v>33</v>
      </c>
      <c r="E62" s="300" t="s">
        <v>1755</v>
      </c>
      <c r="F62" s="460">
        <v>42858</v>
      </c>
      <c r="G62" s="460">
        <v>42898</v>
      </c>
      <c r="H62" s="460">
        <v>43024</v>
      </c>
      <c r="I62" s="461">
        <v>23070.03</v>
      </c>
      <c r="J62" s="462">
        <f>SUM(I58:I62)</f>
        <v>488787.38</v>
      </c>
      <c r="K62" s="462">
        <v>460612</v>
      </c>
      <c r="L62" s="462">
        <f>+J62-K62</f>
        <v>28175.380000000005</v>
      </c>
      <c r="M62" s="463"/>
      <c r="O62" s="464">
        <f t="shared" si="1"/>
        <v>0</v>
      </c>
    </row>
    <row r="63" spans="1:15">
      <c r="A63" s="459" t="s">
        <v>1856</v>
      </c>
      <c r="B63" s="300" t="s">
        <v>93</v>
      </c>
      <c r="C63" s="301" t="s">
        <v>1860</v>
      </c>
      <c r="D63" s="302" t="s">
        <v>26</v>
      </c>
      <c r="E63" s="300" t="s">
        <v>25</v>
      </c>
      <c r="F63" s="460">
        <v>42966</v>
      </c>
      <c r="G63" s="460">
        <v>42982</v>
      </c>
      <c r="H63" s="460">
        <v>43023</v>
      </c>
      <c r="I63" s="465">
        <v>1025000</v>
      </c>
      <c r="J63" s="466"/>
      <c r="K63" s="466"/>
      <c r="L63" s="466"/>
      <c r="M63" s="467"/>
      <c r="O63" s="464">
        <f t="shared" si="1"/>
        <v>0</v>
      </c>
    </row>
    <row r="64" spans="1:15">
      <c r="A64" s="459" t="s">
        <v>1857</v>
      </c>
      <c r="B64" s="300" t="s">
        <v>245</v>
      </c>
      <c r="C64" s="301" t="s">
        <v>1860</v>
      </c>
      <c r="D64" s="302" t="s">
        <v>33</v>
      </c>
      <c r="E64" s="300" t="s">
        <v>25</v>
      </c>
      <c r="F64" s="460">
        <v>42966</v>
      </c>
      <c r="G64" s="460">
        <v>42982</v>
      </c>
      <c r="H64" s="460">
        <v>43027</v>
      </c>
      <c r="I64" s="468">
        <v>11000</v>
      </c>
      <c r="J64" s="469"/>
      <c r="K64" s="469"/>
      <c r="L64" s="469"/>
      <c r="M64" s="470"/>
      <c r="O64" s="464">
        <f t="shared" si="1"/>
        <v>0</v>
      </c>
    </row>
    <row r="65" spans="1:15" ht="15" thickBot="1">
      <c r="A65" s="459" t="s">
        <v>1858</v>
      </c>
      <c r="B65" s="300" t="s">
        <v>245</v>
      </c>
      <c r="C65" s="301" t="s">
        <v>1860</v>
      </c>
      <c r="D65" s="302" t="s">
        <v>33</v>
      </c>
      <c r="E65" s="300" t="s">
        <v>25</v>
      </c>
      <c r="F65" s="460">
        <v>42966</v>
      </c>
      <c r="G65" s="460">
        <v>42982</v>
      </c>
      <c r="H65" s="460">
        <v>43027</v>
      </c>
      <c r="I65" s="461">
        <v>75000</v>
      </c>
      <c r="J65" s="462">
        <f>SUM(I63:I65)</f>
        <v>1111000</v>
      </c>
      <c r="K65" s="462">
        <v>460612</v>
      </c>
      <c r="L65" s="462">
        <f>+J65-K65</f>
        <v>650388</v>
      </c>
      <c r="M65" s="463"/>
      <c r="O65" s="464">
        <f t="shared" si="1"/>
        <v>389296</v>
      </c>
    </row>
    <row r="66" spans="1:15">
      <c r="A66" s="459" t="s">
        <v>1726</v>
      </c>
      <c r="B66" s="300" t="s">
        <v>23</v>
      </c>
      <c r="C66" s="301" t="s">
        <v>1747</v>
      </c>
      <c r="D66" s="302" t="s">
        <v>33</v>
      </c>
      <c r="E66" s="483" t="s">
        <v>38</v>
      </c>
      <c r="F66" s="460">
        <v>42742</v>
      </c>
      <c r="G66" s="460">
        <v>42937</v>
      </c>
      <c r="H66" s="460">
        <v>42951</v>
      </c>
      <c r="I66" s="466">
        <v>115000</v>
      </c>
      <c r="J66" s="466"/>
      <c r="K66" s="466"/>
      <c r="L66" s="466"/>
      <c r="M66" s="467"/>
      <c r="O66" s="464">
        <f t="shared" si="1"/>
        <v>0</v>
      </c>
    </row>
    <row r="67" spans="1:15" ht="15" thickBot="1">
      <c r="A67" s="459" t="s">
        <v>1727</v>
      </c>
      <c r="B67" s="300" t="s">
        <v>174</v>
      </c>
      <c r="C67" s="301" t="s">
        <v>1747</v>
      </c>
      <c r="D67" s="302" t="s">
        <v>33</v>
      </c>
      <c r="E67" s="483" t="s">
        <v>38</v>
      </c>
      <c r="F67" s="460">
        <v>42742</v>
      </c>
      <c r="G67" s="460">
        <v>42937</v>
      </c>
      <c r="H67" s="460">
        <v>42955</v>
      </c>
      <c r="I67" s="462">
        <v>1440000</v>
      </c>
      <c r="J67" s="462">
        <f>+I67+I66</f>
        <v>1555000</v>
      </c>
      <c r="K67" s="462">
        <v>460612</v>
      </c>
      <c r="L67" s="462">
        <f>+J67-K67</f>
        <v>1094388</v>
      </c>
      <c r="M67" s="463"/>
      <c r="O67" s="464">
        <f t="shared" si="1"/>
        <v>833296</v>
      </c>
    </row>
    <row r="68" spans="1:15">
      <c r="A68" s="459" t="s">
        <v>1698</v>
      </c>
      <c r="B68" s="300" t="s">
        <v>28</v>
      </c>
      <c r="C68" s="301" t="s">
        <v>1736</v>
      </c>
      <c r="D68" s="302" t="s">
        <v>33</v>
      </c>
      <c r="E68" s="483" t="s">
        <v>1752</v>
      </c>
      <c r="F68" s="460">
        <v>42749</v>
      </c>
      <c r="G68" s="460">
        <v>42866</v>
      </c>
      <c r="H68" s="460">
        <v>42870</v>
      </c>
      <c r="I68" s="466">
        <v>980021.4</v>
      </c>
      <c r="J68" s="466"/>
      <c r="K68" s="466"/>
      <c r="L68" s="466"/>
      <c r="M68" s="467"/>
      <c r="O68" s="464">
        <f t="shared" si="1"/>
        <v>0</v>
      </c>
    </row>
    <row r="69" spans="1:15" ht="15" thickBot="1">
      <c r="A69" s="459" t="s">
        <v>1699</v>
      </c>
      <c r="B69" s="300" t="s">
        <v>23</v>
      </c>
      <c r="C69" s="301" t="s">
        <v>1736</v>
      </c>
      <c r="D69" s="302" t="s">
        <v>33</v>
      </c>
      <c r="E69" s="483" t="s">
        <v>1752</v>
      </c>
      <c r="F69" s="460">
        <v>42749</v>
      </c>
      <c r="G69" s="460">
        <v>42866</v>
      </c>
      <c r="H69" s="460">
        <v>42870</v>
      </c>
      <c r="I69" s="462">
        <v>305000</v>
      </c>
      <c r="J69" s="462">
        <f>+I69+I68</f>
        <v>1285021.3999999999</v>
      </c>
      <c r="K69" s="462">
        <v>460612</v>
      </c>
      <c r="L69" s="462">
        <f>+J69-K69</f>
        <v>824409.39999999991</v>
      </c>
      <c r="M69" s="463"/>
      <c r="O69" s="464">
        <f t="shared" si="1"/>
        <v>563317.39999999991</v>
      </c>
    </row>
    <row r="70" spans="1:15">
      <c r="A70" s="459" t="s">
        <v>2011</v>
      </c>
      <c r="B70" s="300" t="s">
        <v>174</v>
      </c>
      <c r="C70" s="301" t="s">
        <v>2012</v>
      </c>
      <c r="D70" s="302" t="s">
        <v>33</v>
      </c>
      <c r="E70" s="483" t="s">
        <v>517</v>
      </c>
      <c r="F70" s="460">
        <v>43064</v>
      </c>
      <c r="G70" s="460">
        <v>43082</v>
      </c>
      <c r="H70" s="460">
        <v>43203</v>
      </c>
      <c r="I70" s="466">
        <v>461810.51</v>
      </c>
      <c r="J70" s="466"/>
      <c r="K70" s="466"/>
      <c r="L70" s="466"/>
      <c r="M70" s="467"/>
      <c r="O70" s="464">
        <f t="shared" si="1"/>
        <v>0</v>
      </c>
    </row>
    <row r="71" spans="1:15">
      <c r="A71" s="459" t="s">
        <v>2013</v>
      </c>
      <c r="B71" s="300" t="s">
        <v>23</v>
      </c>
      <c r="C71" s="301" t="s">
        <v>2012</v>
      </c>
      <c r="D71" s="302" t="s">
        <v>1879</v>
      </c>
      <c r="E71" s="483" t="s">
        <v>517</v>
      </c>
      <c r="F71" s="460">
        <v>43064</v>
      </c>
      <c r="G71" s="460">
        <v>43082</v>
      </c>
      <c r="H71" s="460">
        <v>43115</v>
      </c>
      <c r="I71" s="469">
        <v>37466.339999999997</v>
      </c>
      <c r="J71" s="469"/>
      <c r="K71" s="469"/>
      <c r="L71" s="469"/>
      <c r="M71" s="470"/>
      <c r="O71" s="464">
        <f t="shared" si="1"/>
        <v>0</v>
      </c>
    </row>
    <row r="72" spans="1:15" ht="15" thickBot="1">
      <c r="A72" s="459" t="s">
        <v>2014</v>
      </c>
      <c r="B72" s="300" t="s">
        <v>1917</v>
      </c>
      <c r="C72" s="301" t="s">
        <v>2012</v>
      </c>
      <c r="D72" s="302" t="s">
        <v>33</v>
      </c>
      <c r="E72" s="483" t="s">
        <v>517</v>
      </c>
      <c r="F72" s="460">
        <v>43064</v>
      </c>
      <c r="G72" s="460">
        <v>43082</v>
      </c>
      <c r="H72" s="460">
        <v>43115</v>
      </c>
      <c r="I72" s="462">
        <v>7000</v>
      </c>
      <c r="J72" s="462">
        <f>SUM(I70:I72)</f>
        <v>506276.85</v>
      </c>
      <c r="K72" s="462">
        <v>460612</v>
      </c>
      <c r="L72" s="462">
        <f>+J72-K72</f>
        <v>45664.849999999977</v>
      </c>
      <c r="M72" s="463"/>
      <c r="O72" s="464">
        <f t="shared" si="1"/>
        <v>0</v>
      </c>
    </row>
    <row r="73" spans="1:15">
      <c r="A73" s="459" t="s">
        <v>1849</v>
      </c>
      <c r="B73" s="300" t="s">
        <v>245</v>
      </c>
      <c r="C73" s="301" t="s">
        <v>1853</v>
      </c>
      <c r="D73" s="302" t="s">
        <v>55</v>
      </c>
      <c r="E73" s="483" t="s">
        <v>1854</v>
      </c>
      <c r="F73" s="460">
        <v>42955</v>
      </c>
      <c r="G73" s="460">
        <v>42983</v>
      </c>
      <c r="H73" s="460">
        <v>43038</v>
      </c>
      <c r="I73" s="466">
        <v>500000</v>
      </c>
      <c r="J73" s="466"/>
      <c r="K73" s="466"/>
      <c r="L73" s="466"/>
      <c r="M73" s="467"/>
      <c r="O73" s="464">
        <f t="shared" si="1"/>
        <v>0</v>
      </c>
    </row>
    <row r="74" spans="1:15">
      <c r="A74" s="459" t="s">
        <v>1850</v>
      </c>
      <c r="B74" s="300" t="s">
        <v>50</v>
      </c>
      <c r="C74" s="301" t="s">
        <v>1853</v>
      </c>
      <c r="D74" s="302" t="s">
        <v>55</v>
      </c>
      <c r="E74" s="483" t="s">
        <v>1854</v>
      </c>
      <c r="F74" s="460">
        <v>42955</v>
      </c>
      <c r="G74" s="460">
        <v>42983</v>
      </c>
      <c r="H74" s="460">
        <v>43038</v>
      </c>
      <c r="I74" s="469">
        <v>7000</v>
      </c>
      <c r="J74" s="469"/>
      <c r="K74" s="469"/>
      <c r="L74" s="469"/>
      <c r="M74" s="470"/>
      <c r="O74" s="464">
        <f t="shared" si="1"/>
        <v>0</v>
      </c>
    </row>
    <row r="75" spans="1:15">
      <c r="A75" s="459" t="s">
        <v>1851</v>
      </c>
      <c r="B75" s="300" t="s">
        <v>28</v>
      </c>
      <c r="C75" s="301" t="s">
        <v>1853</v>
      </c>
      <c r="D75" s="302" t="s">
        <v>55</v>
      </c>
      <c r="E75" s="483" t="s">
        <v>1854</v>
      </c>
      <c r="F75" s="460">
        <v>42955</v>
      </c>
      <c r="G75" s="460">
        <v>42983</v>
      </c>
      <c r="H75" s="460">
        <v>43038</v>
      </c>
      <c r="I75" s="469">
        <v>500000</v>
      </c>
      <c r="J75" s="469"/>
      <c r="K75" s="469"/>
      <c r="L75" s="469"/>
      <c r="M75" s="470"/>
      <c r="O75" s="464">
        <f t="shared" ref="O75:O94" si="2">IF($J75&gt;P$8,$J75-P$8,0)</f>
        <v>0</v>
      </c>
    </row>
    <row r="76" spans="1:15">
      <c r="A76" s="459" t="s">
        <v>1852</v>
      </c>
      <c r="B76" s="300" t="s">
        <v>23</v>
      </c>
      <c r="C76" s="301" t="s">
        <v>1853</v>
      </c>
      <c r="D76" s="302" t="s">
        <v>55</v>
      </c>
      <c r="E76" s="483" t="s">
        <v>1854</v>
      </c>
      <c r="F76" s="460">
        <v>42955</v>
      </c>
      <c r="G76" s="460">
        <v>42983</v>
      </c>
      <c r="H76" s="460">
        <v>43038</v>
      </c>
      <c r="I76" s="469">
        <v>53000</v>
      </c>
      <c r="J76" s="469"/>
      <c r="K76" s="469"/>
      <c r="L76" s="469"/>
      <c r="M76" s="470"/>
      <c r="O76" s="464">
        <f t="shared" si="2"/>
        <v>0</v>
      </c>
    </row>
    <row r="77" spans="1:15" ht="15" thickBot="1">
      <c r="A77" s="459" t="s">
        <v>1872</v>
      </c>
      <c r="B77" s="300" t="s">
        <v>393</v>
      </c>
      <c r="C77" s="301" t="s">
        <v>1853</v>
      </c>
      <c r="D77" s="302" t="s">
        <v>55</v>
      </c>
      <c r="E77" s="483" t="s">
        <v>1854</v>
      </c>
      <c r="F77" s="460">
        <v>42955</v>
      </c>
      <c r="G77" s="460">
        <v>42983</v>
      </c>
      <c r="H77" s="460">
        <v>43003</v>
      </c>
      <c r="I77" s="462">
        <v>50000</v>
      </c>
      <c r="J77" s="462">
        <f>SUM(I73:I77)</f>
        <v>1110000</v>
      </c>
      <c r="K77" s="462">
        <v>460612</v>
      </c>
      <c r="L77" s="462">
        <f>+J77-K77</f>
        <v>649388</v>
      </c>
      <c r="M77" s="463"/>
      <c r="O77" s="464">
        <f t="shared" si="2"/>
        <v>388296</v>
      </c>
    </row>
    <row r="78" spans="1:15" ht="15" thickBot="1">
      <c r="A78" s="459" t="s">
        <v>1873</v>
      </c>
      <c r="B78" s="300" t="s">
        <v>174</v>
      </c>
      <c r="C78" s="301" t="s">
        <v>1874</v>
      </c>
      <c r="D78" s="302" t="s">
        <v>33</v>
      </c>
      <c r="E78" s="483" t="s">
        <v>1875</v>
      </c>
      <c r="F78" s="460">
        <v>43032</v>
      </c>
      <c r="G78" s="460">
        <v>43067</v>
      </c>
      <c r="H78" s="460">
        <v>43082</v>
      </c>
      <c r="I78" s="473">
        <v>584175.47</v>
      </c>
      <c r="J78" s="473">
        <f>+I78</f>
        <v>584175.47</v>
      </c>
      <c r="K78" s="473">
        <v>460612</v>
      </c>
      <c r="L78" s="462">
        <f>+J78-K78</f>
        <v>123563.46999999997</v>
      </c>
      <c r="M78" s="474"/>
      <c r="O78" s="464">
        <f t="shared" si="2"/>
        <v>0</v>
      </c>
    </row>
    <row r="79" spans="1:15" ht="15" thickBot="1">
      <c r="A79" s="459" t="s">
        <v>1732</v>
      </c>
      <c r="B79" s="300" t="s">
        <v>28</v>
      </c>
      <c r="C79" s="301" t="s">
        <v>1750</v>
      </c>
      <c r="D79" s="302" t="s">
        <v>55</v>
      </c>
      <c r="E79" s="483" t="s">
        <v>69</v>
      </c>
      <c r="F79" s="460">
        <v>42951</v>
      </c>
      <c r="G79" s="460">
        <v>42993</v>
      </c>
      <c r="H79" s="460">
        <v>43004</v>
      </c>
      <c r="I79" s="473">
        <v>546166.63</v>
      </c>
      <c r="J79" s="473">
        <f>+I79</f>
        <v>546166.63</v>
      </c>
      <c r="K79" s="473">
        <v>460612</v>
      </c>
      <c r="L79" s="462">
        <f>+J79-K79</f>
        <v>85554.63</v>
      </c>
      <c r="M79" s="474"/>
      <c r="O79" s="464">
        <f t="shared" si="2"/>
        <v>0</v>
      </c>
    </row>
    <row r="80" spans="1:15">
      <c r="A80" s="459" t="s">
        <v>1694</v>
      </c>
      <c r="B80" s="300" t="s">
        <v>50</v>
      </c>
      <c r="C80" s="301" t="s">
        <v>1735</v>
      </c>
      <c r="D80" s="302" t="s">
        <v>33</v>
      </c>
      <c r="E80" s="483" t="s">
        <v>448</v>
      </c>
      <c r="F80" s="460">
        <v>42839</v>
      </c>
      <c r="G80" s="460">
        <v>42845</v>
      </c>
      <c r="H80" s="460">
        <v>42851</v>
      </c>
      <c r="I80" s="466">
        <v>46916.2</v>
      </c>
      <c r="J80" s="466"/>
      <c r="K80" s="466"/>
      <c r="L80" s="466"/>
      <c r="M80" s="467"/>
      <c r="O80" s="464">
        <f t="shared" si="2"/>
        <v>0</v>
      </c>
    </row>
    <row r="81" spans="1:15">
      <c r="A81" s="459" t="s">
        <v>1695</v>
      </c>
      <c r="B81" s="300" t="s">
        <v>93</v>
      </c>
      <c r="C81" s="301" t="s">
        <v>1735</v>
      </c>
      <c r="D81" s="302" t="s">
        <v>33</v>
      </c>
      <c r="E81" s="483" t="s">
        <v>448</v>
      </c>
      <c r="F81" s="460">
        <v>42839</v>
      </c>
      <c r="G81" s="460">
        <v>42845</v>
      </c>
      <c r="H81" s="460">
        <v>42851</v>
      </c>
      <c r="I81" s="469">
        <v>174594.7</v>
      </c>
      <c r="J81" s="469"/>
      <c r="K81" s="469"/>
      <c r="L81" s="469"/>
      <c r="M81" s="470"/>
      <c r="O81" s="464">
        <f t="shared" si="2"/>
        <v>0</v>
      </c>
    </row>
    <row r="82" spans="1:15">
      <c r="A82" s="459" t="s">
        <v>1696</v>
      </c>
      <c r="B82" s="300" t="s">
        <v>30</v>
      </c>
      <c r="C82" s="301" t="s">
        <v>1735</v>
      </c>
      <c r="D82" s="302" t="s">
        <v>33</v>
      </c>
      <c r="E82" s="483" t="s">
        <v>448</v>
      </c>
      <c r="F82" s="460">
        <v>42839</v>
      </c>
      <c r="G82" s="460">
        <v>42845</v>
      </c>
      <c r="H82" s="460">
        <v>42851</v>
      </c>
      <c r="I82" s="469">
        <v>52688.04</v>
      </c>
      <c r="J82" s="469"/>
      <c r="K82" s="469"/>
      <c r="L82" s="469"/>
      <c r="M82" s="470"/>
      <c r="O82" s="464">
        <f t="shared" si="2"/>
        <v>0</v>
      </c>
    </row>
    <row r="83" spans="1:15" ht="15" thickBot="1">
      <c r="A83" s="459" t="s">
        <v>1697</v>
      </c>
      <c r="B83" s="300" t="s">
        <v>28</v>
      </c>
      <c r="C83" s="301" t="s">
        <v>1735</v>
      </c>
      <c r="D83" s="302" t="s">
        <v>33</v>
      </c>
      <c r="E83" s="483" t="s">
        <v>448</v>
      </c>
      <c r="F83" s="460">
        <v>42839</v>
      </c>
      <c r="G83" s="460">
        <v>42845</v>
      </c>
      <c r="H83" s="460">
        <v>42851</v>
      </c>
      <c r="I83" s="462">
        <v>434963.48</v>
      </c>
      <c r="J83" s="462">
        <f>SUM(I80:I83)</f>
        <v>709162.41999999993</v>
      </c>
      <c r="K83" s="462">
        <v>460612</v>
      </c>
      <c r="L83" s="462">
        <f>+J83-K83</f>
        <v>248550.41999999993</v>
      </c>
      <c r="M83" s="463"/>
      <c r="O83" s="464">
        <f t="shared" si="2"/>
        <v>0</v>
      </c>
    </row>
    <row r="84" spans="1:15">
      <c r="A84" s="459" t="s">
        <v>1876</v>
      </c>
      <c r="B84" s="300" t="s">
        <v>174</v>
      </c>
      <c r="C84" s="301" t="s">
        <v>1877</v>
      </c>
      <c r="D84" s="302" t="s">
        <v>33</v>
      </c>
      <c r="E84" s="483" t="s">
        <v>26</v>
      </c>
      <c r="F84" s="460">
        <v>42895</v>
      </c>
      <c r="G84" s="460">
        <v>43062</v>
      </c>
      <c r="H84" s="460">
        <v>43088</v>
      </c>
      <c r="I84" s="466">
        <v>602500</v>
      </c>
      <c r="J84" s="466"/>
      <c r="K84" s="466"/>
      <c r="L84" s="466"/>
      <c r="M84" s="467"/>
      <c r="O84" s="464">
        <f t="shared" si="2"/>
        <v>0</v>
      </c>
    </row>
    <row r="85" spans="1:15" ht="15" thickBot="1">
      <c r="A85" s="459" t="s">
        <v>1878</v>
      </c>
      <c r="B85" s="300" t="s">
        <v>23</v>
      </c>
      <c r="C85" s="301" t="s">
        <v>1877</v>
      </c>
      <c r="D85" s="302" t="s">
        <v>1879</v>
      </c>
      <c r="E85" s="483" t="s">
        <v>26</v>
      </c>
      <c r="F85" s="460">
        <v>42895</v>
      </c>
      <c r="G85" s="460">
        <v>43062</v>
      </c>
      <c r="H85" s="460">
        <v>43088</v>
      </c>
      <c r="I85" s="462">
        <v>115000</v>
      </c>
      <c r="J85" s="462">
        <f>+I85+I84</f>
        <v>717500</v>
      </c>
      <c r="K85" s="462">
        <v>460612</v>
      </c>
      <c r="L85" s="462">
        <f>+J85-K85</f>
        <v>256888</v>
      </c>
      <c r="M85" s="463"/>
      <c r="O85" s="464">
        <f t="shared" si="2"/>
        <v>0</v>
      </c>
    </row>
    <row r="86" spans="1:15">
      <c r="A86" s="459" t="s">
        <v>1719</v>
      </c>
      <c r="B86" s="300" t="s">
        <v>36</v>
      </c>
      <c r="C86" s="301" t="s">
        <v>1745</v>
      </c>
      <c r="D86" s="302" t="s">
        <v>33</v>
      </c>
      <c r="E86" s="459" t="s">
        <v>1652</v>
      </c>
      <c r="F86" s="460">
        <v>42843</v>
      </c>
      <c r="G86" s="460">
        <v>42880</v>
      </c>
      <c r="H86" s="460">
        <v>42885</v>
      </c>
      <c r="I86" s="466">
        <v>99442.39</v>
      </c>
      <c r="J86" s="466"/>
      <c r="K86" s="466"/>
      <c r="L86" s="466"/>
      <c r="M86" s="467"/>
      <c r="O86" s="464">
        <f t="shared" si="2"/>
        <v>0</v>
      </c>
    </row>
    <row r="87" spans="1:15">
      <c r="A87" s="459" t="s">
        <v>1720</v>
      </c>
      <c r="B87" s="300" t="s">
        <v>28</v>
      </c>
      <c r="C87" s="301" t="s">
        <v>1745</v>
      </c>
      <c r="D87" s="302" t="s">
        <v>33</v>
      </c>
      <c r="E87" s="459" t="s">
        <v>1652</v>
      </c>
      <c r="F87" s="460">
        <v>42843</v>
      </c>
      <c r="G87" s="460">
        <v>42880</v>
      </c>
      <c r="H87" s="460">
        <v>42885</v>
      </c>
      <c r="I87" s="469">
        <v>40000</v>
      </c>
      <c r="J87" s="469"/>
      <c r="K87" s="469"/>
      <c r="L87" s="469"/>
      <c r="M87" s="470"/>
      <c r="O87" s="464">
        <f t="shared" si="2"/>
        <v>0</v>
      </c>
    </row>
    <row r="88" spans="1:15">
      <c r="A88" s="459" t="s">
        <v>1721</v>
      </c>
      <c r="B88" s="300" t="s">
        <v>30</v>
      </c>
      <c r="C88" s="301" t="s">
        <v>1745</v>
      </c>
      <c r="D88" s="302" t="s">
        <v>33</v>
      </c>
      <c r="E88" s="459" t="s">
        <v>1652</v>
      </c>
      <c r="F88" s="460">
        <v>42843</v>
      </c>
      <c r="G88" s="460">
        <v>42880</v>
      </c>
      <c r="H88" s="460">
        <v>42885</v>
      </c>
      <c r="I88" s="469">
        <v>70000</v>
      </c>
      <c r="J88" s="469"/>
      <c r="K88" s="469"/>
      <c r="L88" s="469"/>
      <c r="M88" s="470"/>
      <c r="O88" s="464">
        <f t="shared" si="2"/>
        <v>0</v>
      </c>
    </row>
    <row r="89" spans="1:15">
      <c r="A89" s="459" t="s">
        <v>1722</v>
      </c>
      <c r="B89" s="300" t="s">
        <v>30</v>
      </c>
      <c r="C89" s="301" t="s">
        <v>1745</v>
      </c>
      <c r="D89" s="302" t="s">
        <v>33</v>
      </c>
      <c r="E89" s="459" t="s">
        <v>1652</v>
      </c>
      <c r="F89" s="460">
        <v>42843</v>
      </c>
      <c r="G89" s="460">
        <v>42860</v>
      </c>
      <c r="H89" s="460">
        <v>42927</v>
      </c>
      <c r="I89" s="469">
        <v>308000</v>
      </c>
      <c r="J89" s="469"/>
      <c r="K89" s="469"/>
      <c r="L89" s="469"/>
      <c r="M89" s="470"/>
      <c r="O89" s="464">
        <f t="shared" si="2"/>
        <v>0</v>
      </c>
    </row>
    <row r="90" spans="1:15">
      <c r="A90" s="459" t="s">
        <v>1723</v>
      </c>
      <c r="B90" s="300" t="s">
        <v>28</v>
      </c>
      <c r="C90" s="301" t="s">
        <v>1745</v>
      </c>
      <c r="D90" s="302" t="s">
        <v>33</v>
      </c>
      <c r="E90" s="459" t="s">
        <v>1652</v>
      </c>
      <c r="F90" s="460">
        <v>42843</v>
      </c>
      <c r="G90" s="460">
        <v>42860</v>
      </c>
      <c r="H90" s="460">
        <v>42927</v>
      </c>
      <c r="I90" s="469">
        <v>500000</v>
      </c>
      <c r="J90" s="469"/>
      <c r="K90" s="469"/>
      <c r="L90" s="469"/>
      <c r="M90" s="470"/>
      <c r="O90" s="464">
        <f t="shared" si="2"/>
        <v>0</v>
      </c>
    </row>
    <row r="91" spans="1:15" ht="15" thickBot="1">
      <c r="A91" s="459" t="s">
        <v>1885</v>
      </c>
      <c r="B91" s="300" t="s">
        <v>174</v>
      </c>
      <c r="C91" s="301" t="s">
        <v>1745</v>
      </c>
      <c r="D91" s="302" t="s">
        <v>33</v>
      </c>
      <c r="E91" s="459" t="s">
        <v>32</v>
      </c>
      <c r="F91" s="460">
        <v>42843</v>
      </c>
      <c r="G91" s="460">
        <v>43103</v>
      </c>
      <c r="H91" s="460">
        <v>43118</v>
      </c>
      <c r="I91" s="462">
        <v>135824.68</v>
      </c>
      <c r="J91" s="462">
        <f>SUM(I86:I91)</f>
        <v>1153267.07</v>
      </c>
      <c r="K91" s="462">
        <v>460612</v>
      </c>
      <c r="L91" s="462">
        <f>+J91-K91</f>
        <v>692655.07000000007</v>
      </c>
      <c r="M91" s="463"/>
      <c r="O91" s="464">
        <f t="shared" si="2"/>
        <v>431563.07000000007</v>
      </c>
    </row>
    <row r="92" spans="1:15">
      <c r="A92" s="459" t="s">
        <v>1710</v>
      </c>
      <c r="B92" s="300" t="s">
        <v>23</v>
      </c>
      <c r="C92" s="301" t="s">
        <v>1741</v>
      </c>
      <c r="D92" s="302" t="s">
        <v>33</v>
      </c>
      <c r="E92" s="459" t="s">
        <v>1594</v>
      </c>
      <c r="F92" s="460">
        <v>42770</v>
      </c>
      <c r="G92" s="460">
        <v>42874</v>
      </c>
      <c r="H92" s="460">
        <v>42901</v>
      </c>
      <c r="I92" s="466">
        <v>115000</v>
      </c>
      <c r="J92" s="466"/>
      <c r="K92" s="466"/>
      <c r="L92" s="466"/>
      <c r="M92" s="467"/>
      <c r="O92" s="464">
        <f t="shared" si="2"/>
        <v>0</v>
      </c>
    </row>
    <row r="93" spans="1:15" ht="15" thickBot="1">
      <c r="A93" s="459" t="s">
        <v>1711</v>
      </c>
      <c r="B93" s="300" t="s">
        <v>174</v>
      </c>
      <c r="C93" s="301" t="s">
        <v>1741</v>
      </c>
      <c r="D93" s="302" t="s">
        <v>33</v>
      </c>
      <c r="E93" s="459" t="s">
        <v>1594</v>
      </c>
      <c r="F93" s="460">
        <v>42770</v>
      </c>
      <c r="G93" s="460">
        <v>42874</v>
      </c>
      <c r="H93" s="460">
        <v>42901</v>
      </c>
      <c r="I93" s="462">
        <v>370000</v>
      </c>
      <c r="J93" s="462">
        <f>+I93+I92</f>
        <v>485000</v>
      </c>
      <c r="K93" s="462">
        <v>460612</v>
      </c>
      <c r="L93" s="462">
        <f>+J93-K93</f>
        <v>24388</v>
      </c>
      <c r="M93" s="463"/>
      <c r="O93" s="464">
        <f t="shared" si="2"/>
        <v>0</v>
      </c>
    </row>
    <row r="94" spans="1:15" ht="15" thickBot="1">
      <c r="A94" s="484"/>
      <c r="B94" s="484"/>
      <c r="C94" s="484"/>
      <c r="D94" s="484"/>
      <c r="E94" s="484"/>
      <c r="F94" s="484"/>
      <c r="G94" s="484"/>
      <c r="H94" s="484"/>
      <c r="I94" s="485"/>
      <c r="J94" s="485"/>
      <c r="K94" s="485"/>
      <c r="L94" s="485"/>
      <c r="M94" s="485"/>
      <c r="O94" s="464">
        <f t="shared" si="2"/>
        <v>0</v>
      </c>
    </row>
    <row r="95" spans="1:15" ht="15" thickBot="1">
      <c r="A95" s="486" t="s">
        <v>1555</v>
      </c>
      <c r="B95" s="487"/>
      <c r="C95" s="487"/>
      <c r="D95" s="487"/>
      <c r="E95" s="487"/>
      <c r="F95" s="488"/>
      <c r="G95" s="488"/>
      <c r="H95" s="488"/>
      <c r="I95" s="489">
        <f>SUM(I12:I94)</f>
        <v>25264021.369999997</v>
      </c>
      <c r="J95" s="489">
        <f t="shared" ref="J95" si="3">SUM(J12:J94)</f>
        <v>25264021.369999997</v>
      </c>
      <c r="K95" s="489">
        <f>SUM(K12:K94)</f>
        <v>14278972</v>
      </c>
      <c r="L95" s="489">
        <f>SUM(L12:L94)</f>
        <v>10985049.370000001</v>
      </c>
      <c r="M95" s="489"/>
      <c r="O95" s="490">
        <f>SUM(O11:O94)</f>
        <v>6009217.9499999993</v>
      </c>
    </row>
    <row r="96" spans="1:15">
      <c r="L96" s="82"/>
    </row>
    <row r="107" spans="15:15">
      <c r="O107" s="491"/>
    </row>
  </sheetData>
  <autoFilter ref="A9:M93" xr:uid="{00000000-0009-0000-0000-000007000000}"/>
  <sortState xmlns:xlrd2="http://schemas.microsoft.com/office/spreadsheetml/2017/richdata2" ref="A12:O95">
    <sortCondition ref="C11:C94"/>
  </sortState>
  <mergeCells count="9">
    <mergeCell ref="O6:P6"/>
    <mergeCell ref="A7:M7"/>
    <mergeCell ref="A8:M8"/>
    <mergeCell ref="A3:B3"/>
    <mergeCell ref="A4:B4"/>
    <mergeCell ref="A5:B5"/>
    <mergeCell ref="C5:E5"/>
    <mergeCell ref="F5:M5"/>
    <mergeCell ref="A6:M6"/>
  </mergeCells>
  <dataValidations count="1">
    <dataValidation type="list" allowBlank="1" showInputMessage="1" showErrorMessage="1" sqref="E13:E86 B13:B94" xr:uid="{00000000-0002-0000-07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6"/>
  <sheetViews>
    <sheetView topLeftCell="A7" workbookViewId="0">
      <selection activeCell="A7" sqref="A7:M7"/>
    </sheetView>
  </sheetViews>
  <sheetFormatPr baseColWidth="10" defaultRowHeight="14.4"/>
  <cols>
    <col min="1" max="1" width="19.33203125" style="72" bestFit="1" customWidth="1"/>
    <col min="2" max="2" width="21.6640625" style="72" customWidth="1"/>
    <col min="3" max="3" width="30.77734375" style="72" customWidth="1"/>
    <col min="4" max="4" width="40.44140625" style="72" customWidth="1"/>
    <col min="5" max="7" width="11.5546875" style="72" customWidth="1"/>
    <col min="8" max="8" width="13.5546875" style="72" customWidth="1"/>
    <col min="9" max="13" width="15.33203125" style="72" bestFit="1" customWidth="1"/>
    <col min="14" max="14" width="11.5546875" style="72"/>
    <col min="15" max="15" width="20.21875" style="72" bestFit="1" customWidth="1"/>
    <col min="16" max="16" width="13" style="72" bestFit="1" customWidth="1"/>
    <col min="17" max="16384" width="11.5546875" style="72"/>
  </cols>
  <sheetData>
    <row r="1" spans="1:16" ht="18.600000000000001" thickBot="1">
      <c r="A1" s="146" t="s">
        <v>0</v>
      </c>
      <c r="B1" s="146"/>
      <c r="C1" s="202" t="s">
        <v>1886</v>
      </c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6" ht="18.600000000000001" thickBot="1">
      <c r="A2" s="742" t="s">
        <v>2</v>
      </c>
      <c r="B2" s="743"/>
      <c r="C2" s="202" t="s">
        <v>612</v>
      </c>
      <c r="D2" s="148"/>
      <c r="E2" s="148"/>
      <c r="F2" s="148"/>
      <c r="G2" s="148"/>
      <c r="H2" s="148"/>
      <c r="I2" s="148"/>
      <c r="J2" s="148"/>
      <c r="K2" s="148"/>
      <c r="L2" s="148"/>
      <c r="M2" s="149"/>
    </row>
    <row r="3" spans="1:16" ht="18.600000000000001" thickBot="1">
      <c r="A3" s="774" t="s">
        <v>1666</v>
      </c>
      <c r="B3" s="775"/>
      <c r="C3" s="492">
        <v>23.9848</v>
      </c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6" ht="18.600000000000001" thickBot="1">
      <c r="A4" s="747" t="s">
        <v>1665</v>
      </c>
      <c r="B4" s="776"/>
      <c r="C4" s="783" t="s">
        <v>1991</v>
      </c>
      <c r="D4" s="784"/>
      <c r="E4" s="785"/>
      <c r="F4" s="780"/>
      <c r="G4" s="780"/>
      <c r="H4" s="780"/>
      <c r="I4" s="780"/>
      <c r="J4" s="780"/>
      <c r="K4" s="780"/>
      <c r="L4" s="780"/>
      <c r="M4" s="781"/>
    </row>
    <row r="5" spans="1:16" ht="18.600000000000001" thickBot="1">
      <c r="A5" s="739"/>
      <c r="B5" s="740"/>
      <c r="C5" s="782"/>
      <c r="D5" s="782"/>
      <c r="E5" s="782"/>
      <c r="F5" s="740"/>
      <c r="G5" s="740"/>
      <c r="H5" s="740"/>
      <c r="I5" s="740"/>
      <c r="J5" s="740"/>
      <c r="K5" s="740"/>
      <c r="L5" s="740"/>
      <c r="M5" s="741"/>
    </row>
    <row r="6" spans="1:16" ht="18.600000000000001" thickBot="1">
      <c r="A6" s="739" t="s">
        <v>7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1"/>
      <c r="O6" s="751" t="s">
        <v>1092</v>
      </c>
      <c r="P6" s="752"/>
    </row>
    <row r="7" spans="1:16" ht="18.600000000000001" thickBot="1">
      <c r="A7" s="753" t="s">
        <v>1887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</row>
    <row r="8" spans="1:16" ht="29.4" thickBot="1">
      <c r="A8" s="493" t="s">
        <v>9</v>
      </c>
      <c r="B8" s="493" t="s">
        <v>10</v>
      </c>
      <c r="C8" s="494" t="s">
        <v>11</v>
      </c>
      <c r="D8" s="494" t="s">
        <v>12</v>
      </c>
      <c r="E8" s="494" t="s">
        <v>13</v>
      </c>
      <c r="F8" s="494" t="s">
        <v>14</v>
      </c>
      <c r="G8" s="494" t="s">
        <v>15</v>
      </c>
      <c r="H8" s="494" t="s">
        <v>16</v>
      </c>
      <c r="I8" s="493" t="s">
        <v>17</v>
      </c>
      <c r="J8" s="494" t="s">
        <v>18</v>
      </c>
      <c r="K8" s="493" t="s">
        <v>19</v>
      </c>
      <c r="L8" s="495" t="s">
        <v>20</v>
      </c>
      <c r="M8" s="493" t="s">
        <v>21</v>
      </c>
      <c r="O8" s="268" t="s">
        <v>1090</v>
      </c>
      <c r="P8" s="269">
        <f>'BURNING COST'!F8</f>
        <v>721704</v>
      </c>
    </row>
    <row r="9" spans="1:16">
      <c r="A9" s="496" t="s">
        <v>2080</v>
      </c>
      <c r="B9" s="497" t="s">
        <v>1917</v>
      </c>
      <c r="C9" s="348" t="s">
        <v>2084</v>
      </c>
      <c r="D9" s="347" t="s">
        <v>33</v>
      </c>
      <c r="E9" s="347" t="s">
        <v>38</v>
      </c>
      <c r="F9" s="498">
        <v>43430</v>
      </c>
      <c r="G9" s="498">
        <v>43481</v>
      </c>
      <c r="H9" s="498">
        <v>43571</v>
      </c>
      <c r="I9" s="499">
        <v>20000</v>
      </c>
      <c r="J9" s="500"/>
      <c r="K9" s="500"/>
      <c r="L9" s="501"/>
      <c r="M9" s="502"/>
      <c r="O9" s="259" t="s">
        <v>1091</v>
      </c>
    </row>
    <row r="10" spans="1:16">
      <c r="A10" s="280" t="s">
        <v>2081</v>
      </c>
      <c r="B10" s="281" t="s">
        <v>174</v>
      </c>
      <c r="C10" s="282" t="s">
        <v>2084</v>
      </c>
      <c r="D10" s="281" t="s">
        <v>33</v>
      </c>
      <c r="E10" s="281" t="s">
        <v>38</v>
      </c>
      <c r="F10" s="503">
        <v>43430</v>
      </c>
      <c r="G10" s="503">
        <v>43481</v>
      </c>
      <c r="H10" s="503">
        <v>43571</v>
      </c>
      <c r="I10" s="504">
        <v>500000</v>
      </c>
      <c r="J10" s="505"/>
      <c r="K10" s="505"/>
      <c r="L10" s="506"/>
      <c r="M10" s="502"/>
      <c r="O10" s="507">
        <f>IF($J10&gt;P$8,$J10-P$8,0)</f>
        <v>0</v>
      </c>
    </row>
    <row r="11" spans="1:16">
      <c r="A11" s="280" t="s">
        <v>2082</v>
      </c>
      <c r="B11" s="281" t="s">
        <v>23</v>
      </c>
      <c r="C11" s="282" t="s">
        <v>2084</v>
      </c>
      <c r="D11" s="281" t="s">
        <v>1879</v>
      </c>
      <c r="E11" s="281" t="s">
        <v>38</v>
      </c>
      <c r="F11" s="503">
        <v>43430</v>
      </c>
      <c r="G11" s="503">
        <v>43481</v>
      </c>
      <c r="H11" s="503">
        <v>43571</v>
      </c>
      <c r="I11" s="504">
        <v>60000</v>
      </c>
      <c r="J11" s="505"/>
      <c r="K11" s="505"/>
      <c r="L11" s="506"/>
      <c r="M11" s="502"/>
      <c r="O11" s="507">
        <f t="shared" ref="O11:O74" si="0">IF($J11&gt;P$8,$J11-P$8,0)</f>
        <v>0</v>
      </c>
    </row>
    <row r="12" spans="1:16">
      <c r="A12" s="280" t="s">
        <v>2083</v>
      </c>
      <c r="B12" s="281" t="s">
        <v>36</v>
      </c>
      <c r="C12" s="282" t="s">
        <v>2084</v>
      </c>
      <c r="D12" s="281" t="s">
        <v>33</v>
      </c>
      <c r="E12" s="281" t="s">
        <v>38</v>
      </c>
      <c r="F12" s="503">
        <v>43430</v>
      </c>
      <c r="G12" s="503">
        <v>43473</v>
      </c>
      <c r="H12" s="503">
        <v>43571</v>
      </c>
      <c r="I12" s="504">
        <v>75000</v>
      </c>
      <c r="J12" s="505">
        <v>655000</v>
      </c>
      <c r="K12" s="505">
        <v>460612</v>
      </c>
      <c r="L12" s="506">
        <v>194388</v>
      </c>
      <c r="M12" s="502"/>
      <c r="O12" s="507">
        <f t="shared" si="0"/>
        <v>0</v>
      </c>
    </row>
    <row r="13" spans="1:16">
      <c r="A13" s="280" t="s">
        <v>2085</v>
      </c>
      <c r="B13" s="281" t="s">
        <v>1917</v>
      </c>
      <c r="C13" s="282" t="s">
        <v>2090</v>
      </c>
      <c r="D13" s="281" t="s">
        <v>33</v>
      </c>
      <c r="E13" s="281" t="s">
        <v>2091</v>
      </c>
      <c r="F13" s="503">
        <v>43350</v>
      </c>
      <c r="G13" s="503">
        <v>43406</v>
      </c>
      <c r="H13" s="503">
        <v>43413</v>
      </c>
      <c r="I13" s="504">
        <v>7000</v>
      </c>
      <c r="J13" s="505"/>
      <c r="K13" s="505"/>
      <c r="L13" s="506"/>
      <c r="M13" s="502"/>
      <c r="O13" s="507">
        <f t="shared" si="0"/>
        <v>0</v>
      </c>
    </row>
    <row r="14" spans="1:16">
      <c r="A14" s="280" t="s">
        <v>2086</v>
      </c>
      <c r="B14" s="281" t="s">
        <v>174</v>
      </c>
      <c r="C14" s="282" t="s">
        <v>2090</v>
      </c>
      <c r="D14" s="281" t="s">
        <v>33</v>
      </c>
      <c r="E14" s="281" t="s">
        <v>2091</v>
      </c>
      <c r="F14" s="503">
        <v>43350</v>
      </c>
      <c r="G14" s="503">
        <v>43406</v>
      </c>
      <c r="H14" s="503">
        <v>43413</v>
      </c>
      <c r="I14" s="504">
        <v>500000</v>
      </c>
      <c r="J14" s="505"/>
      <c r="K14" s="505"/>
      <c r="L14" s="506"/>
      <c r="M14" s="502"/>
      <c r="O14" s="507">
        <f t="shared" si="0"/>
        <v>0</v>
      </c>
    </row>
    <row r="15" spans="1:16">
      <c r="A15" s="280" t="s">
        <v>2087</v>
      </c>
      <c r="B15" s="281" t="s">
        <v>174</v>
      </c>
      <c r="C15" s="282" t="s">
        <v>2090</v>
      </c>
      <c r="D15" s="281" t="s">
        <v>2071</v>
      </c>
      <c r="E15" s="281" t="s">
        <v>2092</v>
      </c>
      <c r="F15" s="503">
        <v>43350</v>
      </c>
      <c r="G15" s="503">
        <v>43417</v>
      </c>
      <c r="H15" s="503">
        <v>43419</v>
      </c>
      <c r="I15" s="504">
        <v>64034.79</v>
      </c>
      <c r="J15" s="505"/>
      <c r="K15" s="505"/>
      <c r="L15" s="506"/>
      <c r="M15" s="502"/>
      <c r="O15" s="507">
        <f t="shared" si="0"/>
        <v>0</v>
      </c>
    </row>
    <row r="16" spans="1:16">
      <c r="A16" s="280" t="s">
        <v>2088</v>
      </c>
      <c r="B16" s="281" t="s">
        <v>23</v>
      </c>
      <c r="C16" s="282" t="s">
        <v>2090</v>
      </c>
      <c r="D16" s="281" t="s">
        <v>1879</v>
      </c>
      <c r="E16" s="281" t="s">
        <v>2091</v>
      </c>
      <c r="F16" s="503">
        <v>43350</v>
      </c>
      <c r="G16" s="503">
        <v>43406</v>
      </c>
      <c r="H16" s="503">
        <v>43413</v>
      </c>
      <c r="I16" s="504">
        <v>2868.34</v>
      </c>
      <c r="J16" s="505"/>
      <c r="K16" s="505"/>
      <c r="L16" s="506"/>
      <c r="M16" s="502"/>
      <c r="O16" s="507">
        <f t="shared" si="0"/>
        <v>0</v>
      </c>
    </row>
    <row r="17" spans="1:15">
      <c r="A17" s="280" t="s">
        <v>2089</v>
      </c>
      <c r="B17" s="281" t="s">
        <v>23</v>
      </c>
      <c r="C17" s="282" t="s">
        <v>2090</v>
      </c>
      <c r="D17" s="281" t="s">
        <v>1879</v>
      </c>
      <c r="E17" s="281" t="s">
        <v>2092</v>
      </c>
      <c r="F17" s="503">
        <v>43350</v>
      </c>
      <c r="G17" s="503">
        <v>43417</v>
      </c>
      <c r="H17" s="503">
        <v>43419</v>
      </c>
      <c r="I17" s="504">
        <v>31889.83</v>
      </c>
      <c r="J17" s="505">
        <v>605792.96</v>
      </c>
      <c r="K17" s="505">
        <v>460612</v>
      </c>
      <c r="L17" s="506">
        <v>145180.95999999996</v>
      </c>
      <c r="M17" s="502"/>
      <c r="O17" s="507">
        <f t="shared" si="0"/>
        <v>0</v>
      </c>
    </row>
    <row r="18" spans="1:15">
      <c r="A18" s="280" t="s">
        <v>1888</v>
      </c>
      <c r="B18" s="281" t="s">
        <v>174</v>
      </c>
      <c r="C18" s="282" t="s">
        <v>1889</v>
      </c>
      <c r="D18" s="281" t="s">
        <v>33</v>
      </c>
      <c r="E18" s="281" t="s">
        <v>290</v>
      </c>
      <c r="F18" s="503">
        <v>43173</v>
      </c>
      <c r="G18" s="503">
        <v>43235</v>
      </c>
      <c r="H18" s="503">
        <v>43249</v>
      </c>
      <c r="I18" s="504">
        <v>408750</v>
      </c>
      <c r="J18" s="505"/>
      <c r="K18" s="505"/>
      <c r="L18" s="506"/>
      <c r="M18" s="502"/>
      <c r="O18" s="507">
        <f t="shared" si="0"/>
        <v>0</v>
      </c>
    </row>
    <row r="19" spans="1:15">
      <c r="A19" s="280" t="s">
        <v>1890</v>
      </c>
      <c r="B19" s="281" t="s">
        <v>23</v>
      </c>
      <c r="C19" s="282" t="s">
        <v>1889</v>
      </c>
      <c r="D19" s="281" t="s">
        <v>1879</v>
      </c>
      <c r="E19" s="281" t="s">
        <v>1891</v>
      </c>
      <c r="F19" s="503">
        <v>43173</v>
      </c>
      <c r="G19" s="503">
        <v>43235</v>
      </c>
      <c r="H19" s="503">
        <v>43249</v>
      </c>
      <c r="I19" s="504">
        <v>75631.37</v>
      </c>
      <c r="J19" s="505">
        <v>484381.37</v>
      </c>
      <c r="K19" s="505">
        <v>460612</v>
      </c>
      <c r="L19" s="506">
        <v>23769.369999999995</v>
      </c>
      <c r="M19" s="502"/>
      <c r="O19" s="507">
        <f t="shared" si="0"/>
        <v>0</v>
      </c>
    </row>
    <row r="20" spans="1:15">
      <c r="A20" s="280" t="s">
        <v>2093</v>
      </c>
      <c r="B20" s="281" t="s">
        <v>93</v>
      </c>
      <c r="C20" s="282" t="s">
        <v>2094</v>
      </c>
      <c r="D20" s="281" t="s">
        <v>2070</v>
      </c>
      <c r="E20" s="281" t="s">
        <v>1485</v>
      </c>
      <c r="F20" s="503">
        <v>43240</v>
      </c>
      <c r="G20" s="503">
        <v>43432</v>
      </c>
      <c r="H20" s="503">
        <v>43444</v>
      </c>
      <c r="I20" s="504">
        <v>1030000</v>
      </c>
      <c r="J20" s="505">
        <v>1030000</v>
      </c>
      <c r="K20" s="505">
        <v>460612</v>
      </c>
      <c r="L20" s="506">
        <v>569388</v>
      </c>
      <c r="M20" s="502"/>
      <c r="O20" s="507">
        <f t="shared" si="0"/>
        <v>308296</v>
      </c>
    </row>
    <row r="21" spans="1:15">
      <c r="A21" s="280" t="s">
        <v>1942</v>
      </c>
      <c r="B21" s="281" t="s">
        <v>93</v>
      </c>
      <c r="C21" s="282" t="s">
        <v>1943</v>
      </c>
      <c r="D21" s="281" t="s">
        <v>2070</v>
      </c>
      <c r="E21" s="281" t="s">
        <v>1944</v>
      </c>
      <c r="F21" s="503">
        <v>43261</v>
      </c>
      <c r="G21" s="503">
        <v>43286</v>
      </c>
      <c r="H21" s="503">
        <v>43297</v>
      </c>
      <c r="I21" s="504">
        <v>510000</v>
      </c>
      <c r="J21" s="505"/>
      <c r="K21" s="505"/>
      <c r="L21" s="506"/>
      <c r="M21" s="502"/>
      <c r="O21" s="507">
        <f t="shared" si="0"/>
        <v>0</v>
      </c>
    </row>
    <row r="22" spans="1:15">
      <c r="A22" s="280" t="s">
        <v>1945</v>
      </c>
      <c r="B22" s="281" t="s">
        <v>1930</v>
      </c>
      <c r="C22" s="282" t="s">
        <v>1943</v>
      </c>
      <c r="D22" s="281" t="s">
        <v>2071</v>
      </c>
      <c r="E22" s="281" t="s">
        <v>1944</v>
      </c>
      <c r="F22" s="503">
        <v>43261</v>
      </c>
      <c r="G22" s="503">
        <v>43293</v>
      </c>
      <c r="H22" s="503">
        <v>43304</v>
      </c>
      <c r="I22" s="504">
        <v>170000</v>
      </c>
      <c r="J22" s="505"/>
      <c r="K22" s="505"/>
      <c r="L22" s="506"/>
      <c r="M22" s="502"/>
      <c r="O22" s="507">
        <f t="shared" si="0"/>
        <v>0</v>
      </c>
    </row>
    <row r="23" spans="1:15">
      <c r="A23" s="280" t="s">
        <v>1946</v>
      </c>
      <c r="B23" s="281" t="s">
        <v>174</v>
      </c>
      <c r="C23" s="282" t="s">
        <v>1943</v>
      </c>
      <c r="D23" s="281" t="s">
        <v>33</v>
      </c>
      <c r="E23" s="281" t="s">
        <v>1944</v>
      </c>
      <c r="F23" s="503">
        <v>43261</v>
      </c>
      <c r="G23" s="503">
        <v>43286</v>
      </c>
      <c r="H23" s="503">
        <v>43308</v>
      </c>
      <c r="I23" s="504">
        <v>602319.87</v>
      </c>
      <c r="J23" s="505"/>
      <c r="K23" s="505"/>
      <c r="L23" s="506"/>
      <c r="M23" s="502"/>
      <c r="O23" s="507">
        <f t="shared" si="0"/>
        <v>0</v>
      </c>
    </row>
    <row r="24" spans="1:15">
      <c r="A24" s="280" t="s">
        <v>1947</v>
      </c>
      <c r="B24" s="281" t="s">
        <v>23</v>
      </c>
      <c r="C24" s="282" t="s">
        <v>1943</v>
      </c>
      <c r="D24" s="281" t="s">
        <v>2095</v>
      </c>
      <c r="E24" s="281" t="s">
        <v>1944</v>
      </c>
      <c r="F24" s="503">
        <v>43261</v>
      </c>
      <c r="G24" s="503">
        <v>43286</v>
      </c>
      <c r="H24" s="503">
        <v>43304</v>
      </c>
      <c r="I24" s="504">
        <v>307500</v>
      </c>
      <c r="J24" s="505"/>
      <c r="K24" s="505"/>
      <c r="L24" s="506"/>
      <c r="M24" s="502"/>
      <c r="O24" s="507">
        <f t="shared" si="0"/>
        <v>0</v>
      </c>
    </row>
    <row r="25" spans="1:15">
      <c r="A25" s="280" t="s">
        <v>1948</v>
      </c>
      <c r="B25" s="281" t="s">
        <v>958</v>
      </c>
      <c r="C25" s="282" t="s">
        <v>1943</v>
      </c>
      <c r="D25" s="281" t="s">
        <v>33</v>
      </c>
      <c r="E25" s="281" t="s">
        <v>1944</v>
      </c>
      <c r="F25" s="503">
        <v>43261</v>
      </c>
      <c r="G25" s="503">
        <v>43286</v>
      </c>
      <c r="H25" s="503">
        <v>43348</v>
      </c>
      <c r="I25" s="504">
        <v>20000</v>
      </c>
      <c r="J25" s="505">
        <v>1609819.87</v>
      </c>
      <c r="K25" s="505">
        <v>460612</v>
      </c>
      <c r="L25" s="506">
        <v>1149207.8700000001</v>
      </c>
      <c r="M25" s="502"/>
      <c r="O25" s="507">
        <f t="shared" si="0"/>
        <v>888115.87000000011</v>
      </c>
    </row>
    <row r="26" spans="1:15">
      <c r="A26" s="280" t="s">
        <v>1949</v>
      </c>
      <c r="B26" s="281" t="s">
        <v>174</v>
      </c>
      <c r="C26" s="282" t="s">
        <v>1950</v>
      </c>
      <c r="D26" s="281" t="s">
        <v>33</v>
      </c>
      <c r="E26" s="281" t="s">
        <v>38</v>
      </c>
      <c r="F26" s="503">
        <v>43190</v>
      </c>
      <c r="G26" s="503">
        <v>43299</v>
      </c>
      <c r="H26" s="503">
        <v>43341</v>
      </c>
      <c r="I26" s="504">
        <v>500000</v>
      </c>
      <c r="J26" s="505"/>
      <c r="K26" s="505"/>
      <c r="L26" s="506"/>
      <c r="M26" s="502"/>
      <c r="O26" s="507">
        <f t="shared" si="0"/>
        <v>0</v>
      </c>
    </row>
    <row r="27" spans="1:15">
      <c r="A27" s="280" t="s">
        <v>1951</v>
      </c>
      <c r="B27" s="281" t="s">
        <v>1917</v>
      </c>
      <c r="C27" s="282" t="s">
        <v>1950</v>
      </c>
      <c r="D27" s="281" t="s">
        <v>33</v>
      </c>
      <c r="E27" s="281" t="s">
        <v>38</v>
      </c>
      <c r="F27" s="503">
        <v>43190</v>
      </c>
      <c r="G27" s="503">
        <v>43299</v>
      </c>
      <c r="H27" s="503">
        <v>43355</v>
      </c>
      <c r="I27" s="504">
        <v>7000</v>
      </c>
      <c r="J27" s="505"/>
      <c r="K27" s="505"/>
      <c r="L27" s="506"/>
      <c r="M27" s="502"/>
      <c r="O27" s="507">
        <f t="shared" si="0"/>
        <v>0</v>
      </c>
    </row>
    <row r="28" spans="1:15">
      <c r="A28" s="280" t="s">
        <v>1952</v>
      </c>
      <c r="B28" s="281" t="s">
        <v>23</v>
      </c>
      <c r="C28" s="282" t="s">
        <v>1950</v>
      </c>
      <c r="D28" s="281" t="s">
        <v>1879</v>
      </c>
      <c r="E28" s="281" t="s">
        <v>38</v>
      </c>
      <c r="F28" s="503">
        <v>43190</v>
      </c>
      <c r="G28" s="503">
        <v>43299</v>
      </c>
      <c r="H28" s="503">
        <v>43355</v>
      </c>
      <c r="I28" s="504">
        <v>54500</v>
      </c>
      <c r="J28" s="505">
        <v>561500</v>
      </c>
      <c r="K28" s="505">
        <v>460612</v>
      </c>
      <c r="L28" s="506">
        <v>100888</v>
      </c>
      <c r="M28" s="502"/>
      <c r="O28" s="507">
        <f t="shared" si="0"/>
        <v>0</v>
      </c>
    </row>
    <row r="29" spans="1:15">
      <c r="A29" s="280" t="s">
        <v>1892</v>
      </c>
      <c r="B29" s="281" t="s">
        <v>174</v>
      </c>
      <c r="C29" s="282" t="s">
        <v>1893</v>
      </c>
      <c r="D29" s="281" t="s">
        <v>33</v>
      </c>
      <c r="E29" s="281" t="s">
        <v>339</v>
      </c>
      <c r="F29" s="503">
        <v>43167</v>
      </c>
      <c r="G29" s="503">
        <v>43231</v>
      </c>
      <c r="H29" s="503">
        <v>43249</v>
      </c>
      <c r="I29" s="504">
        <v>1500000</v>
      </c>
      <c r="J29" s="505"/>
      <c r="K29" s="505"/>
      <c r="L29" s="506"/>
      <c r="M29" s="502"/>
      <c r="O29" s="507">
        <f t="shared" si="0"/>
        <v>0</v>
      </c>
    </row>
    <row r="30" spans="1:15">
      <c r="A30" s="280" t="s">
        <v>1894</v>
      </c>
      <c r="B30" s="281" t="s">
        <v>23</v>
      </c>
      <c r="C30" s="282" t="s">
        <v>1893</v>
      </c>
      <c r="D30" s="281" t="s">
        <v>1879</v>
      </c>
      <c r="E30" s="281" t="s">
        <v>339</v>
      </c>
      <c r="F30" s="503">
        <v>43167</v>
      </c>
      <c r="G30" s="503">
        <v>43231</v>
      </c>
      <c r="H30" s="503">
        <v>43249</v>
      </c>
      <c r="I30" s="504">
        <v>103000</v>
      </c>
      <c r="J30" s="505">
        <v>1603000</v>
      </c>
      <c r="K30" s="505">
        <v>460612</v>
      </c>
      <c r="L30" s="506">
        <v>1142388</v>
      </c>
      <c r="M30" s="502"/>
      <c r="O30" s="507">
        <f t="shared" si="0"/>
        <v>881296</v>
      </c>
    </row>
    <row r="31" spans="1:15">
      <c r="A31" s="280" t="s">
        <v>2096</v>
      </c>
      <c r="B31" s="281" t="s">
        <v>93</v>
      </c>
      <c r="C31" s="282" t="s">
        <v>2099</v>
      </c>
      <c r="D31" s="281" t="s">
        <v>2070</v>
      </c>
      <c r="E31" s="281" t="s">
        <v>2100</v>
      </c>
      <c r="F31" s="503">
        <v>43389</v>
      </c>
      <c r="G31" s="503">
        <v>43508</v>
      </c>
      <c r="H31" s="503">
        <v>43517</v>
      </c>
      <c r="I31" s="504">
        <v>210000</v>
      </c>
      <c r="J31" s="505"/>
      <c r="K31" s="505"/>
      <c r="L31" s="506"/>
      <c r="M31" s="502"/>
      <c r="O31" s="507">
        <f t="shared" si="0"/>
        <v>0</v>
      </c>
    </row>
    <row r="32" spans="1:15">
      <c r="A32" s="280" t="s">
        <v>2097</v>
      </c>
      <c r="B32" s="281" t="s">
        <v>174</v>
      </c>
      <c r="C32" s="282" t="s">
        <v>2099</v>
      </c>
      <c r="D32" s="281" t="s">
        <v>33</v>
      </c>
      <c r="E32" s="281" t="s">
        <v>2100</v>
      </c>
      <c r="F32" s="503">
        <v>43389</v>
      </c>
      <c r="G32" s="503">
        <v>43508</v>
      </c>
      <c r="H32" s="503">
        <v>43517</v>
      </c>
      <c r="I32" s="504">
        <v>201219.5</v>
      </c>
      <c r="J32" s="505"/>
      <c r="K32" s="505"/>
      <c r="L32" s="506"/>
      <c r="M32" s="502"/>
      <c r="O32" s="507">
        <f t="shared" si="0"/>
        <v>0</v>
      </c>
    </row>
    <row r="33" spans="1:15">
      <c r="A33" s="280" t="s">
        <v>2098</v>
      </c>
      <c r="B33" s="281" t="s">
        <v>23</v>
      </c>
      <c r="C33" s="282" t="s">
        <v>2099</v>
      </c>
      <c r="D33" s="281" t="s">
        <v>1879</v>
      </c>
      <c r="E33" s="281" t="s">
        <v>2100</v>
      </c>
      <c r="F33" s="503">
        <v>43389</v>
      </c>
      <c r="G33" s="503">
        <v>43508</v>
      </c>
      <c r="H33" s="503">
        <v>43517</v>
      </c>
      <c r="I33" s="504">
        <v>83445.149999999994</v>
      </c>
      <c r="J33" s="505">
        <v>494664.65</v>
      </c>
      <c r="K33" s="505">
        <v>460612</v>
      </c>
      <c r="L33" s="506">
        <v>34052.650000000023</v>
      </c>
      <c r="M33" s="502"/>
      <c r="O33" s="507">
        <f t="shared" si="0"/>
        <v>0</v>
      </c>
    </row>
    <row r="34" spans="1:15">
      <c r="A34" s="280" t="s">
        <v>2101</v>
      </c>
      <c r="B34" s="281" t="s">
        <v>174</v>
      </c>
      <c r="C34" s="282" t="s">
        <v>2105</v>
      </c>
      <c r="D34" s="281" t="s">
        <v>33</v>
      </c>
      <c r="E34" s="281" t="s">
        <v>38</v>
      </c>
      <c r="F34" s="503">
        <v>43296</v>
      </c>
      <c r="G34" s="503">
        <v>43343</v>
      </c>
      <c r="H34" s="503">
        <v>43356</v>
      </c>
      <c r="I34" s="504">
        <v>200000</v>
      </c>
      <c r="J34" s="505"/>
      <c r="K34" s="505"/>
      <c r="L34" s="506"/>
      <c r="M34" s="502"/>
      <c r="O34" s="507">
        <f t="shared" si="0"/>
        <v>0</v>
      </c>
    </row>
    <row r="35" spans="1:15">
      <c r="A35" s="280" t="s">
        <v>2102</v>
      </c>
      <c r="B35" s="281" t="s">
        <v>23</v>
      </c>
      <c r="C35" s="282" t="s">
        <v>2105</v>
      </c>
      <c r="D35" s="281" t="s">
        <v>1879</v>
      </c>
      <c r="E35" s="281" t="s">
        <v>38</v>
      </c>
      <c r="F35" s="503">
        <v>43296</v>
      </c>
      <c r="G35" s="503">
        <v>43343</v>
      </c>
      <c r="H35" s="503">
        <v>43356</v>
      </c>
      <c r="I35" s="504">
        <v>23416.26</v>
      </c>
      <c r="J35" s="505"/>
      <c r="K35" s="505"/>
      <c r="L35" s="506"/>
      <c r="M35" s="502"/>
      <c r="O35" s="507">
        <f t="shared" si="0"/>
        <v>0</v>
      </c>
    </row>
    <row r="36" spans="1:15">
      <c r="A36" s="280" t="s">
        <v>2103</v>
      </c>
      <c r="B36" s="281" t="s">
        <v>174</v>
      </c>
      <c r="C36" s="282" t="s">
        <v>2105</v>
      </c>
      <c r="D36" s="281" t="s">
        <v>33</v>
      </c>
      <c r="E36" s="281" t="s">
        <v>38</v>
      </c>
      <c r="F36" s="503">
        <v>43296</v>
      </c>
      <c r="G36" s="503">
        <v>43413</v>
      </c>
      <c r="H36" s="503">
        <v>43423</v>
      </c>
      <c r="I36" s="504">
        <v>265000</v>
      </c>
      <c r="J36" s="505"/>
      <c r="K36" s="505"/>
      <c r="L36" s="506"/>
      <c r="M36" s="502"/>
      <c r="O36" s="507">
        <f t="shared" si="0"/>
        <v>0</v>
      </c>
    </row>
    <row r="37" spans="1:15">
      <c r="A37" s="280" t="s">
        <v>2104</v>
      </c>
      <c r="B37" s="281" t="s">
        <v>23</v>
      </c>
      <c r="C37" s="282" t="s">
        <v>2105</v>
      </c>
      <c r="D37" s="281" t="s">
        <v>1879</v>
      </c>
      <c r="E37" s="281" t="s">
        <v>38</v>
      </c>
      <c r="F37" s="503">
        <v>43296</v>
      </c>
      <c r="G37" s="503">
        <v>43413</v>
      </c>
      <c r="H37" s="503">
        <v>43423</v>
      </c>
      <c r="I37" s="504">
        <v>58456.51</v>
      </c>
      <c r="J37" s="505">
        <v>546872.77</v>
      </c>
      <c r="K37" s="505">
        <v>460612</v>
      </c>
      <c r="L37" s="506">
        <v>86260.770000000019</v>
      </c>
      <c r="M37" s="502"/>
      <c r="O37" s="507">
        <f t="shared" si="0"/>
        <v>0</v>
      </c>
    </row>
    <row r="38" spans="1:15">
      <c r="A38" s="280" t="s">
        <v>1969</v>
      </c>
      <c r="B38" s="281" t="s">
        <v>93</v>
      </c>
      <c r="C38" s="282" t="s">
        <v>2106</v>
      </c>
      <c r="D38" s="281" t="s">
        <v>2070</v>
      </c>
      <c r="E38" s="281" t="s">
        <v>1970</v>
      </c>
      <c r="F38" s="503">
        <v>43129</v>
      </c>
      <c r="G38" s="503">
        <v>43199</v>
      </c>
      <c r="H38" s="503">
        <v>43224</v>
      </c>
      <c r="I38" s="504">
        <v>390000</v>
      </c>
      <c r="J38" s="505"/>
      <c r="K38" s="505"/>
      <c r="L38" s="506"/>
      <c r="M38" s="502"/>
      <c r="O38" s="507">
        <f t="shared" si="0"/>
        <v>0</v>
      </c>
    </row>
    <row r="39" spans="1:15">
      <c r="A39" s="280" t="s">
        <v>1971</v>
      </c>
      <c r="B39" s="281" t="s">
        <v>174</v>
      </c>
      <c r="C39" s="282" t="s">
        <v>2106</v>
      </c>
      <c r="D39" s="281" t="s">
        <v>2071</v>
      </c>
      <c r="E39" s="281" t="s">
        <v>1970</v>
      </c>
      <c r="F39" s="503">
        <v>43129</v>
      </c>
      <c r="G39" s="503">
        <v>43199</v>
      </c>
      <c r="H39" s="503">
        <v>43224</v>
      </c>
      <c r="I39" s="504">
        <v>44157.83</v>
      </c>
      <c r="J39" s="505"/>
      <c r="K39" s="505"/>
      <c r="L39" s="506"/>
      <c r="M39" s="502"/>
      <c r="O39" s="507">
        <f t="shared" si="0"/>
        <v>0</v>
      </c>
    </row>
    <row r="40" spans="1:15">
      <c r="A40" s="280" t="s">
        <v>1972</v>
      </c>
      <c r="B40" s="281" t="s">
        <v>1917</v>
      </c>
      <c r="C40" s="282" t="s">
        <v>2106</v>
      </c>
      <c r="D40" s="281" t="s">
        <v>33</v>
      </c>
      <c r="E40" s="281" t="s">
        <v>1973</v>
      </c>
      <c r="F40" s="503">
        <v>43129</v>
      </c>
      <c r="G40" s="503">
        <v>43301</v>
      </c>
      <c r="H40" s="503">
        <v>43306</v>
      </c>
      <c r="I40" s="504">
        <v>50000</v>
      </c>
      <c r="J40" s="505">
        <v>484157.83</v>
      </c>
      <c r="K40" s="505">
        <v>460612</v>
      </c>
      <c r="L40" s="506">
        <v>23545.830000000016</v>
      </c>
      <c r="M40" s="502"/>
      <c r="O40" s="507">
        <f t="shared" si="0"/>
        <v>0</v>
      </c>
    </row>
    <row r="41" spans="1:15">
      <c r="A41" s="280" t="s">
        <v>2107</v>
      </c>
      <c r="B41" s="281" t="s">
        <v>1900</v>
      </c>
      <c r="C41" s="282" t="s">
        <v>2111</v>
      </c>
      <c r="D41" s="281" t="s">
        <v>2070</v>
      </c>
      <c r="E41" s="281" t="s">
        <v>38</v>
      </c>
      <c r="F41" s="503">
        <v>43305</v>
      </c>
      <c r="G41" s="503">
        <v>43374</v>
      </c>
      <c r="H41" s="503">
        <v>43399</v>
      </c>
      <c r="I41" s="504">
        <v>30500</v>
      </c>
      <c r="J41" s="505"/>
      <c r="K41" s="505"/>
      <c r="L41" s="506"/>
      <c r="M41" s="502"/>
      <c r="O41" s="507">
        <f t="shared" si="0"/>
        <v>0</v>
      </c>
    </row>
    <row r="42" spans="1:15">
      <c r="A42" s="280" t="s">
        <v>2108</v>
      </c>
      <c r="B42" s="281" t="s">
        <v>174</v>
      </c>
      <c r="C42" s="282" t="s">
        <v>2111</v>
      </c>
      <c r="D42" s="281" t="s">
        <v>33</v>
      </c>
      <c r="E42" s="281" t="s">
        <v>38</v>
      </c>
      <c r="F42" s="503">
        <v>43305</v>
      </c>
      <c r="G42" s="503">
        <v>43390</v>
      </c>
      <c r="H42" s="503">
        <v>43397</v>
      </c>
      <c r="I42" s="504">
        <v>1913000</v>
      </c>
      <c r="J42" s="505"/>
      <c r="K42" s="505"/>
      <c r="L42" s="506"/>
      <c r="M42" s="502"/>
      <c r="O42" s="507">
        <f t="shared" si="0"/>
        <v>0</v>
      </c>
    </row>
    <row r="43" spans="1:15">
      <c r="A43" s="280" t="s">
        <v>2109</v>
      </c>
      <c r="B43" s="281" t="s">
        <v>23</v>
      </c>
      <c r="C43" s="282" t="s">
        <v>2111</v>
      </c>
      <c r="D43" s="281" t="s">
        <v>1879</v>
      </c>
      <c r="E43" s="281" t="s">
        <v>38</v>
      </c>
      <c r="F43" s="503">
        <v>43305</v>
      </c>
      <c r="G43" s="503">
        <v>43390</v>
      </c>
      <c r="H43" s="503">
        <v>43397</v>
      </c>
      <c r="I43" s="504">
        <v>115000</v>
      </c>
      <c r="J43" s="505"/>
      <c r="K43" s="505"/>
      <c r="L43" s="506"/>
      <c r="M43" s="502"/>
      <c r="O43" s="507">
        <f t="shared" si="0"/>
        <v>0</v>
      </c>
    </row>
    <row r="44" spans="1:15">
      <c r="A44" s="280" t="s">
        <v>2110</v>
      </c>
      <c r="B44" s="281" t="s">
        <v>30</v>
      </c>
      <c r="C44" s="282" t="s">
        <v>2111</v>
      </c>
      <c r="D44" s="281" t="s">
        <v>2070</v>
      </c>
      <c r="E44" s="281" t="s">
        <v>38</v>
      </c>
      <c r="F44" s="503">
        <v>43305</v>
      </c>
      <c r="G44" s="503">
        <v>43305</v>
      </c>
      <c r="H44" s="503">
        <v>43432</v>
      </c>
      <c r="I44" s="504">
        <v>42310.77</v>
      </c>
      <c r="J44" s="505">
        <v>2100810.77</v>
      </c>
      <c r="K44" s="505">
        <v>460612</v>
      </c>
      <c r="L44" s="506">
        <v>1640198.77</v>
      </c>
      <c r="M44" s="502"/>
      <c r="O44" s="507">
        <f t="shared" si="0"/>
        <v>1379106.77</v>
      </c>
    </row>
    <row r="45" spans="1:15">
      <c r="A45" s="280" t="s">
        <v>2112</v>
      </c>
      <c r="B45" s="281" t="s">
        <v>1985</v>
      </c>
      <c r="C45" s="282" t="s">
        <v>2114</v>
      </c>
      <c r="D45" s="281" t="s">
        <v>2115</v>
      </c>
      <c r="E45" s="281" t="s">
        <v>2116</v>
      </c>
      <c r="F45" s="503">
        <v>43414</v>
      </c>
      <c r="G45" s="503">
        <v>43521</v>
      </c>
      <c r="H45" s="503">
        <v>43522</v>
      </c>
      <c r="I45" s="504">
        <v>550000</v>
      </c>
      <c r="J45" s="505"/>
      <c r="K45" s="505"/>
      <c r="L45" s="506"/>
      <c r="M45" s="502"/>
      <c r="O45" s="507">
        <f t="shared" si="0"/>
        <v>0</v>
      </c>
    </row>
    <row r="46" spans="1:15">
      <c r="A46" s="280" t="s">
        <v>2113</v>
      </c>
      <c r="B46" s="281" t="s">
        <v>23</v>
      </c>
      <c r="C46" s="282" t="s">
        <v>2114</v>
      </c>
      <c r="D46" s="281" t="s">
        <v>1879</v>
      </c>
      <c r="E46" s="281" t="s">
        <v>2117</v>
      </c>
      <c r="F46" s="503">
        <v>43414</v>
      </c>
      <c r="G46" s="503">
        <v>43497</v>
      </c>
      <c r="H46" s="503">
        <v>43501</v>
      </c>
      <c r="I46" s="504">
        <v>7986.42</v>
      </c>
      <c r="J46" s="505">
        <v>557986.42000000004</v>
      </c>
      <c r="K46" s="505">
        <v>460612</v>
      </c>
      <c r="L46" s="506">
        <v>97374.420000000042</v>
      </c>
      <c r="M46" s="502"/>
      <c r="O46" s="507">
        <f t="shared" si="0"/>
        <v>0</v>
      </c>
    </row>
    <row r="47" spans="1:15">
      <c r="A47" s="280" t="s">
        <v>1895</v>
      </c>
      <c r="B47" s="281" t="s">
        <v>174</v>
      </c>
      <c r="C47" s="282" t="s">
        <v>1896</v>
      </c>
      <c r="D47" s="281" t="s">
        <v>33</v>
      </c>
      <c r="E47" s="281" t="s">
        <v>626</v>
      </c>
      <c r="F47" s="503">
        <v>43152</v>
      </c>
      <c r="G47" s="503">
        <v>43167</v>
      </c>
      <c r="H47" s="503">
        <v>43182</v>
      </c>
      <c r="I47" s="504">
        <v>344548.83</v>
      </c>
      <c r="J47" s="505"/>
      <c r="K47" s="505"/>
      <c r="L47" s="506"/>
      <c r="M47" s="502"/>
      <c r="O47" s="507">
        <f t="shared" si="0"/>
        <v>0</v>
      </c>
    </row>
    <row r="48" spans="1:15">
      <c r="A48" s="280" t="s">
        <v>1897</v>
      </c>
      <c r="B48" s="281" t="s">
        <v>23</v>
      </c>
      <c r="C48" s="282" t="s">
        <v>1896</v>
      </c>
      <c r="D48" s="281" t="s">
        <v>1879</v>
      </c>
      <c r="E48" s="281" t="s">
        <v>1898</v>
      </c>
      <c r="F48" s="503">
        <v>43152</v>
      </c>
      <c r="G48" s="503">
        <v>43171</v>
      </c>
      <c r="H48" s="503">
        <v>43182</v>
      </c>
      <c r="I48" s="504">
        <v>49604.44</v>
      </c>
      <c r="J48" s="505"/>
      <c r="K48" s="505"/>
      <c r="L48" s="506"/>
      <c r="M48" s="502"/>
      <c r="O48" s="507">
        <f t="shared" si="0"/>
        <v>0</v>
      </c>
    </row>
    <row r="49" spans="1:15">
      <c r="A49" s="280" t="s">
        <v>1899</v>
      </c>
      <c r="B49" s="281" t="s">
        <v>1900</v>
      </c>
      <c r="C49" s="282" t="s">
        <v>1896</v>
      </c>
      <c r="D49" s="281" t="s">
        <v>2070</v>
      </c>
      <c r="E49" s="281" t="s">
        <v>626</v>
      </c>
      <c r="F49" s="503">
        <v>43152</v>
      </c>
      <c r="G49" s="503">
        <v>43181</v>
      </c>
      <c r="H49" s="503">
        <v>43223</v>
      </c>
      <c r="I49" s="504">
        <v>45800</v>
      </c>
      <c r="J49" s="505"/>
      <c r="K49" s="505"/>
      <c r="L49" s="506"/>
      <c r="M49" s="502"/>
      <c r="O49" s="507">
        <f t="shared" si="0"/>
        <v>0</v>
      </c>
    </row>
    <row r="50" spans="1:15">
      <c r="A50" s="280" t="s">
        <v>1901</v>
      </c>
      <c r="B50" s="281" t="s">
        <v>1900</v>
      </c>
      <c r="C50" s="282" t="s">
        <v>1896</v>
      </c>
      <c r="D50" s="281" t="s">
        <v>2070</v>
      </c>
      <c r="E50" s="281" t="s">
        <v>626</v>
      </c>
      <c r="F50" s="503">
        <v>43152</v>
      </c>
      <c r="G50" s="503">
        <v>43203</v>
      </c>
      <c r="H50" s="503">
        <v>43213</v>
      </c>
      <c r="I50" s="504">
        <v>40000</v>
      </c>
      <c r="J50" s="505"/>
      <c r="K50" s="505"/>
      <c r="L50" s="506"/>
      <c r="M50" s="502"/>
      <c r="O50" s="507">
        <f t="shared" si="0"/>
        <v>0</v>
      </c>
    </row>
    <row r="51" spans="1:15">
      <c r="A51" s="280" t="s">
        <v>1902</v>
      </c>
      <c r="B51" s="281" t="s">
        <v>23</v>
      </c>
      <c r="C51" s="282" t="s">
        <v>1896</v>
      </c>
      <c r="D51" s="281" t="s">
        <v>1879</v>
      </c>
      <c r="E51" s="281" t="s">
        <v>1898</v>
      </c>
      <c r="F51" s="503">
        <v>43152</v>
      </c>
      <c r="G51" s="503">
        <v>43203</v>
      </c>
      <c r="H51" s="503">
        <v>43213</v>
      </c>
      <c r="I51" s="504">
        <v>9500</v>
      </c>
      <c r="J51" s="505"/>
      <c r="K51" s="505"/>
      <c r="L51" s="506"/>
      <c r="M51" s="502"/>
      <c r="O51" s="507">
        <f t="shared" si="0"/>
        <v>0</v>
      </c>
    </row>
    <row r="52" spans="1:15">
      <c r="A52" s="280" t="s">
        <v>1895</v>
      </c>
      <c r="B52" s="281" t="s">
        <v>174</v>
      </c>
      <c r="C52" s="282" t="s">
        <v>1896</v>
      </c>
      <c r="D52" s="281" t="s">
        <v>33</v>
      </c>
      <c r="E52" s="281" t="s">
        <v>626</v>
      </c>
      <c r="F52" s="503">
        <v>43152</v>
      </c>
      <c r="G52" s="503">
        <v>43167</v>
      </c>
      <c r="H52" s="503">
        <v>43182</v>
      </c>
      <c r="I52" s="504">
        <v>6000</v>
      </c>
      <c r="J52" s="505">
        <v>495453.27</v>
      </c>
      <c r="K52" s="505">
        <v>460612</v>
      </c>
      <c r="L52" s="506">
        <v>34841.270000000019</v>
      </c>
      <c r="M52" s="502"/>
      <c r="O52" s="507">
        <f t="shared" si="0"/>
        <v>0</v>
      </c>
    </row>
    <row r="53" spans="1:15">
      <c r="A53" s="280" t="s">
        <v>2118</v>
      </c>
      <c r="B53" s="281" t="s">
        <v>1917</v>
      </c>
      <c r="C53" s="282" t="s">
        <v>2122</v>
      </c>
      <c r="D53" s="281" t="s">
        <v>33</v>
      </c>
      <c r="E53" s="281" t="s">
        <v>2123</v>
      </c>
      <c r="F53" s="503">
        <v>43423</v>
      </c>
      <c r="G53" s="503">
        <v>43439</v>
      </c>
      <c r="H53" s="503">
        <v>43444</v>
      </c>
      <c r="I53" s="504">
        <v>50000</v>
      </c>
      <c r="J53" s="505"/>
      <c r="K53" s="505"/>
      <c r="L53" s="506"/>
      <c r="M53" s="502"/>
      <c r="O53" s="507">
        <f t="shared" si="0"/>
        <v>0</v>
      </c>
    </row>
    <row r="54" spans="1:15">
      <c r="A54" s="280" t="s">
        <v>2119</v>
      </c>
      <c r="B54" s="281" t="s">
        <v>30</v>
      </c>
      <c r="C54" s="282" t="s">
        <v>2122</v>
      </c>
      <c r="D54" s="281" t="s">
        <v>2070</v>
      </c>
      <c r="E54" s="281" t="s">
        <v>2123</v>
      </c>
      <c r="F54" s="503">
        <v>43423</v>
      </c>
      <c r="G54" s="503">
        <v>43439</v>
      </c>
      <c r="H54" s="503">
        <v>43444</v>
      </c>
      <c r="I54" s="504">
        <v>102045.94</v>
      </c>
      <c r="J54" s="505"/>
      <c r="K54" s="505"/>
      <c r="L54" s="506"/>
      <c r="M54" s="502"/>
      <c r="O54" s="507">
        <f t="shared" si="0"/>
        <v>0</v>
      </c>
    </row>
    <row r="55" spans="1:15">
      <c r="A55" s="280" t="s">
        <v>2120</v>
      </c>
      <c r="B55" s="281" t="s">
        <v>174</v>
      </c>
      <c r="C55" s="282" t="s">
        <v>2122</v>
      </c>
      <c r="D55" s="281" t="s">
        <v>33</v>
      </c>
      <c r="E55" s="281" t="s">
        <v>2123</v>
      </c>
      <c r="F55" s="503">
        <v>43423</v>
      </c>
      <c r="G55" s="503">
        <v>43439</v>
      </c>
      <c r="H55" s="503">
        <v>43444</v>
      </c>
      <c r="I55" s="504">
        <v>3120733.34</v>
      </c>
      <c r="J55" s="505"/>
      <c r="K55" s="505"/>
      <c r="L55" s="506"/>
      <c r="M55" s="502"/>
      <c r="O55" s="507">
        <f t="shared" si="0"/>
        <v>0</v>
      </c>
    </row>
    <row r="56" spans="1:15">
      <c r="A56" s="280" t="s">
        <v>2121</v>
      </c>
      <c r="B56" s="281" t="s">
        <v>93</v>
      </c>
      <c r="C56" s="282" t="s">
        <v>2122</v>
      </c>
      <c r="D56" s="281" t="s">
        <v>33</v>
      </c>
      <c r="E56" s="281" t="s">
        <v>2124</v>
      </c>
      <c r="F56" s="503">
        <v>43423</v>
      </c>
      <c r="G56" s="503">
        <v>43454</v>
      </c>
      <c r="H56" s="503">
        <v>43535</v>
      </c>
      <c r="I56" s="504">
        <v>505000</v>
      </c>
      <c r="J56" s="505">
        <v>3777779.28</v>
      </c>
      <c r="K56" s="505">
        <v>460612</v>
      </c>
      <c r="L56" s="506">
        <v>3317167.28</v>
      </c>
      <c r="M56" s="502"/>
      <c r="O56" s="507">
        <f t="shared" si="0"/>
        <v>3056075.28</v>
      </c>
    </row>
    <row r="57" spans="1:15">
      <c r="A57" s="280" t="s">
        <v>2125</v>
      </c>
      <c r="B57" s="281" t="s">
        <v>1985</v>
      </c>
      <c r="C57" s="282" t="s">
        <v>2126</v>
      </c>
      <c r="D57" s="281" t="s">
        <v>2115</v>
      </c>
      <c r="E57" s="281" t="s">
        <v>38</v>
      </c>
      <c r="F57" s="503">
        <v>43331</v>
      </c>
      <c r="G57" s="503">
        <v>43411</v>
      </c>
      <c r="H57" s="503">
        <v>43416</v>
      </c>
      <c r="I57" s="504">
        <v>550000</v>
      </c>
      <c r="J57" s="505">
        <v>550000</v>
      </c>
      <c r="K57" s="505">
        <v>460612</v>
      </c>
      <c r="L57" s="506">
        <v>89388</v>
      </c>
      <c r="M57" s="502"/>
      <c r="O57" s="507">
        <f t="shared" si="0"/>
        <v>0</v>
      </c>
    </row>
    <row r="58" spans="1:15">
      <c r="A58" s="280" t="s">
        <v>2127</v>
      </c>
      <c r="B58" s="281" t="s">
        <v>30</v>
      </c>
      <c r="C58" s="282" t="s">
        <v>2131</v>
      </c>
      <c r="D58" s="281" t="s">
        <v>2132</v>
      </c>
      <c r="E58" s="281" t="s">
        <v>84</v>
      </c>
      <c r="F58" s="503">
        <v>43362</v>
      </c>
      <c r="G58" s="503">
        <v>43368</v>
      </c>
      <c r="H58" s="503">
        <v>43399</v>
      </c>
      <c r="I58" s="504">
        <v>104500</v>
      </c>
      <c r="J58" s="505"/>
      <c r="K58" s="505"/>
      <c r="L58" s="506"/>
      <c r="M58" s="502"/>
      <c r="O58" s="507">
        <f t="shared" si="0"/>
        <v>0</v>
      </c>
    </row>
    <row r="59" spans="1:15">
      <c r="A59" s="280" t="s">
        <v>2128</v>
      </c>
      <c r="B59" s="281" t="s">
        <v>174</v>
      </c>
      <c r="C59" s="282" t="s">
        <v>2131</v>
      </c>
      <c r="D59" s="281" t="s">
        <v>33</v>
      </c>
      <c r="E59" s="281" t="s">
        <v>84</v>
      </c>
      <c r="F59" s="503">
        <v>43362</v>
      </c>
      <c r="G59" s="503">
        <v>43368</v>
      </c>
      <c r="H59" s="503">
        <v>43399</v>
      </c>
      <c r="I59" s="504">
        <v>361962.88</v>
      </c>
      <c r="J59" s="505">
        <v>466462.88</v>
      </c>
      <c r="K59" s="505">
        <v>460612</v>
      </c>
      <c r="L59" s="506">
        <v>5850.8800000000047</v>
      </c>
      <c r="M59" s="502"/>
      <c r="O59" s="507">
        <f t="shared" si="0"/>
        <v>0</v>
      </c>
    </row>
    <row r="60" spans="1:15">
      <c r="A60" s="280" t="s">
        <v>2129</v>
      </c>
      <c r="B60" s="281" t="s">
        <v>174</v>
      </c>
      <c r="C60" s="282" t="s">
        <v>2133</v>
      </c>
      <c r="D60" s="281" t="s">
        <v>33</v>
      </c>
      <c r="E60" s="281" t="s">
        <v>84</v>
      </c>
      <c r="F60" s="503">
        <v>43350</v>
      </c>
      <c r="G60" s="503">
        <v>43370</v>
      </c>
      <c r="H60" s="503">
        <v>43389</v>
      </c>
      <c r="I60" s="504">
        <v>1464357.24</v>
      </c>
      <c r="J60" s="505"/>
      <c r="K60" s="505"/>
      <c r="L60" s="506"/>
      <c r="M60" s="502"/>
      <c r="O60" s="507">
        <f t="shared" si="0"/>
        <v>0</v>
      </c>
    </row>
    <row r="61" spans="1:15">
      <c r="A61" s="280" t="s">
        <v>2130</v>
      </c>
      <c r="B61" s="281" t="s">
        <v>23</v>
      </c>
      <c r="C61" s="282" t="s">
        <v>2133</v>
      </c>
      <c r="D61" s="281" t="s">
        <v>1879</v>
      </c>
      <c r="E61" s="281" t="s">
        <v>84</v>
      </c>
      <c r="F61" s="503">
        <v>43350</v>
      </c>
      <c r="G61" s="503">
        <v>43370</v>
      </c>
      <c r="H61" s="503">
        <v>43389</v>
      </c>
      <c r="I61" s="504">
        <v>307500</v>
      </c>
      <c r="J61" s="505">
        <v>1771857.24</v>
      </c>
      <c r="K61" s="505">
        <v>460612</v>
      </c>
      <c r="L61" s="506">
        <v>1311245.24</v>
      </c>
      <c r="M61" s="502"/>
      <c r="O61" s="507">
        <f t="shared" si="0"/>
        <v>1050153.24</v>
      </c>
    </row>
    <row r="62" spans="1:15">
      <c r="A62" s="280" t="s">
        <v>2134</v>
      </c>
      <c r="B62" s="281" t="s">
        <v>30</v>
      </c>
      <c r="C62" s="282" t="s">
        <v>2136</v>
      </c>
      <c r="D62" s="281" t="s">
        <v>2070</v>
      </c>
      <c r="E62" s="281" t="s">
        <v>448</v>
      </c>
      <c r="F62" s="503">
        <v>43417</v>
      </c>
      <c r="G62" s="503">
        <v>43453</v>
      </c>
      <c r="H62" s="503">
        <v>43460</v>
      </c>
      <c r="I62" s="504">
        <v>65000</v>
      </c>
      <c r="J62" s="505"/>
      <c r="K62" s="505"/>
      <c r="L62" s="506"/>
      <c r="M62" s="502"/>
      <c r="O62" s="507">
        <f t="shared" si="0"/>
        <v>0</v>
      </c>
    </row>
    <row r="63" spans="1:15">
      <c r="A63" s="280" t="s">
        <v>2135</v>
      </c>
      <c r="B63" s="281" t="s">
        <v>174</v>
      </c>
      <c r="C63" s="282" t="s">
        <v>2136</v>
      </c>
      <c r="D63" s="281" t="s">
        <v>2071</v>
      </c>
      <c r="E63" s="281" t="s">
        <v>448</v>
      </c>
      <c r="F63" s="503">
        <v>43417</v>
      </c>
      <c r="G63" s="503">
        <v>43453</v>
      </c>
      <c r="H63" s="503">
        <v>43460</v>
      </c>
      <c r="I63" s="504">
        <v>502550.68</v>
      </c>
      <c r="J63" s="505">
        <v>567550.67999999993</v>
      </c>
      <c r="K63" s="505">
        <v>460612</v>
      </c>
      <c r="L63" s="506">
        <v>106938.67999999993</v>
      </c>
      <c r="M63" s="502"/>
      <c r="O63" s="507">
        <f t="shared" si="0"/>
        <v>0</v>
      </c>
    </row>
    <row r="64" spans="1:15">
      <c r="A64" s="280" t="s">
        <v>2137</v>
      </c>
      <c r="B64" s="281" t="s">
        <v>30</v>
      </c>
      <c r="C64" s="282" t="s">
        <v>2139</v>
      </c>
      <c r="D64" s="281" t="s">
        <v>2070</v>
      </c>
      <c r="E64" s="281" t="s">
        <v>38</v>
      </c>
      <c r="F64" s="503">
        <v>43322</v>
      </c>
      <c r="G64" s="503">
        <v>43350</v>
      </c>
      <c r="H64" s="503">
        <v>43399</v>
      </c>
      <c r="I64" s="504">
        <v>34365.58</v>
      </c>
      <c r="J64" s="505"/>
      <c r="K64" s="505"/>
      <c r="L64" s="506"/>
      <c r="M64" s="502"/>
      <c r="O64" s="507">
        <f t="shared" si="0"/>
        <v>0</v>
      </c>
    </row>
    <row r="65" spans="1:15">
      <c r="A65" s="280" t="s">
        <v>2138</v>
      </c>
      <c r="B65" s="281" t="s">
        <v>174</v>
      </c>
      <c r="C65" s="282" t="s">
        <v>2139</v>
      </c>
      <c r="D65" s="281" t="s">
        <v>2071</v>
      </c>
      <c r="E65" s="281" t="s">
        <v>38</v>
      </c>
      <c r="F65" s="503">
        <v>43322</v>
      </c>
      <c r="G65" s="503">
        <v>43350</v>
      </c>
      <c r="H65" s="503">
        <v>43399</v>
      </c>
      <c r="I65" s="504">
        <v>593003.63</v>
      </c>
      <c r="J65" s="505">
        <v>627369.21</v>
      </c>
      <c r="K65" s="505">
        <v>460612</v>
      </c>
      <c r="L65" s="506">
        <v>166757.20999999996</v>
      </c>
      <c r="M65" s="502"/>
      <c r="O65" s="507">
        <f t="shared" si="0"/>
        <v>0</v>
      </c>
    </row>
    <row r="66" spans="1:15">
      <c r="A66" s="280" t="s">
        <v>2140</v>
      </c>
      <c r="B66" s="281" t="s">
        <v>93</v>
      </c>
      <c r="C66" s="282" t="s">
        <v>2145</v>
      </c>
      <c r="D66" s="281" t="s">
        <v>2070</v>
      </c>
      <c r="E66" s="281" t="s">
        <v>1022</v>
      </c>
      <c r="F66" s="503">
        <v>43285</v>
      </c>
      <c r="G66" s="503">
        <v>43395</v>
      </c>
      <c r="H66" s="503">
        <v>43399</v>
      </c>
      <c r="I66" s="504">
        <v>383000</v>
      </c>
      <c r="J66" s="505"/>
      <c r="K66" s="505"/>
      <c r="L66" s="506"/>
      <c r="M66" s="502"/>
      <c r="O66" s="507">
        <f t="shared" si="0"/>
        <v>0</v>
      </c>
    </row>
    <row r="67" spans="1:15">
      <c r="A67" s="280" t="s">
        <v>2141</v>
      </c>
      <c r="B67" s="281" t="s">
        <v>174</v>
      </c>
      <c r="C67" s="282" t="s">
        <v>2145</v>
      </c>
      <c r="D67" s="281" t="s">
        <v>33</v>
      </c>
      <c r="E67" s="281" t="s">
        <v>1022</v>
      </c>
      <c r="F67" s="503">
        <v>43285</v>
      </c>
      <c r="G67" s="503">
        <v>43395</v>
      </c>
      <c r="H67" s="503">
        <v>43399</v>
      </c>
      <c r="I67" s="504">
        <v>106900</v>
      </c>
      <c r="J67" s="505"/>
      <c r="K67" s="505"/>
      <c r="L67" s="506"/>
      <c r="M67" s="502"/>
      <c r="O67" s="507">
        <f t="shared" si="0"/>
        <v>0</v>
      </c>
    </row>
    <row r="68" spans="1:15">
      <c r="A68" s="280" t="s">
        <v>2142</v>
      </c>
      <c r="B68" s="281" t="s">
        <v>23</v>
      </c>
      <c r="C68" s="282" t="s">
        <v>2145</v>
      </c>
      <c r="D68" s="281" t="s">
        <v>1879</v>
      </c>
      <c r="E68" s="281" t="s">
        <v>1022</v>
      </c>
      <c r="F68" s="503">
        <v>43285</v>
      </c>
      <c r="G68" s="503">
        <v>43395</v>
      </c>
      <c r="H68" s="503">
        <v>43399</v>
      </c>
      <c r="I68" s="504">
        <v>58780.27</v>
      </c>
      <c r="J68" s="505">
        <v>548680.27</v>
      </c>
      <c r="K68" s="505">
        <v>460612</v>
      </c>
      <c r="L68" s="506">
        <v>88068.270000000019</v>
      </c>
      <c r="M68" s="502"/>
      <c r="O68" s="507">
        <f t="shared" si="0"/>
        <v>0</v>
      </c>
    </row>
    <row r="69" spans="1:15">
      <c r="A69" s="280" t="s">
        <v>1903</v>
      </c>
      <c r="B69" s="281" t="s">
        <v>93</v>
      </c>
      <c r="C69" s="282" t="s">
        <v>1904</v>
      </c>
      <c r="D69" s="281" t="s">
        <v>2070</v>
      </c>
      <c r="E69" s="281" t="s">
        <v>391</v>
      </c>
      <c r="F69" s="503">
        <v>43155</v>
      </c>
      <c r="G69" s="503">
        <v>43194</v>
      </c>
      <c r="H69" s="503">
        <v>43206</v>
      </c>
      <c r="I69" s="504">
        <v>510000</v>
      </c>
      <c r="J69" s="505"/>
      <c r="K69" s="505"/>
      <c r="L69" s="506"/>
      <c r="M69" s="502"/>
      <c r="O69" s="507">
        <f t="shared" si="0"/>
        <v>0</v>
      </c>
    </row>
    <row r="70" spans="1:15">
      <c r="A70" s="280" t="s">
        <v>1905</v>
      </c>
      <c r="B70" s="281" t="s">
        <v>23</v>
      </c>
      <c r="C70" s="282" t="s">
        <v>1904</v>
      </c>
      <c r="D70" s="281" t="s">
        <v>1879</v>
      </c>
      <c r="E70" s="281" t="s">
        <v>391</v>
      </c>
      <c r="F70" s="503">
        <v>43155</v>
      </c>
      <c r="G70" s="503">
        <v>43185</v>
      </c>
      <c r="H70" s="503">
        <v>43194</v>
      </c>
      <c r="I70" s="504">
        <v>6965.95</v>
      </c>
      <c r="J70" s="505">
        <v>516965.95</v>
      </c>
      <c r="K70" s="505">
        <v>460612</v>
      </c>
      <c r="L70" s="506">
        <v>56353.950000000012</v>
      </c>
      <c r="M70" s="502"/>
      <c r="O70" s="507">
        <f t="shared" si="0"/>
        <v>0</v>
      </c>
    </row>
    <row r="71" spans="1:15">
      <c r="A71" s="280" t="s">
        <v>2143</v>
      </c>
      <c r="B71" s="281" t="s">
        <v>36</v>
      </c>
      <c r="C71" s="282" t="s">
        <v>2146</v>
      </c>
      <c r="D71" s="281" t="s">
        <v>2068</v>
      </c>
      <c r="E71" s="281" t="s">
        <v>2147</v>
      </c>
      <c r="F71" s="503">
        <v>43304</v>
      </c>
      <c r="G71" s="503">
        <v>43469</v>
      </c>
      <c r="H71" s="503">
        <v>43544</v>
      </c>
      <c r="I71" s="504">
        <v>1262620.26</v>
      </c>
      <c r="J71" s="505"/>
      <c r="K71" s="505"/>
      <c r="L71" s="506"/>
      <c r="M71" s="502"/>
      <c r="O71" s="507">
        <f t="shared" si="0"/>
        <v>0</v>
      </c>
    </row>
    <row r="72" spans="1:15">
      <c r="A72" s="280" t="s">
        <v>2144</v>
      </c>
      <c r="B72" s="281" t="s">
        <v>174</v>
      </c>
      <c r="C72" s="282" t="s">
        <v>2146</v>
      </c>
      <c r="D72" s="281" t="s">
        <v>2067</v>
      </c>
      <c r="E72" s="281" t="s">
        <v>2147</v>
      </c>
      <c r="F72" s="503">
        <v>43305</v>
      </c>
      <c r="G72" s="503">
        <v>43469</v>
      </c>
      <c r="H72" s="503">
        <v>43544</v>
      </c>
      <c r="I72" s="504">
        <v>500000</v>
      </c>
      <c r="J72" s="505">
        <v>1762620.26</v>
      </c>
      <c r="K72" s="505">
        <v>460612</v>
      </c>
      <c r="L72" s="506">
        <v>1302008.26</v>
      </c>
      <c r="M72" s="502"/>
      <c r="O72" s="507">
        <f t="shared" si="0"/>
        <v>1040916.26</v>
      </c>
    </row>
    <row r="73" spans="1:15">
      <c r="A73" s="280" t="s">
        <v>1953</v>
      </c>
      <c r="B73" s="281" t="s">
        <v>1900</v>
      </c>
      <c r="C73" s="282" t="s">
        <v>1954</v>
      </c>
      <c r="D73" s="281" t="s">
        <v>2070</v>
      </c>
      <c r="E73" s="281" t="s">
        <v>290</v>
      </c>
      <c r="F73" s="503">
        <v>43216</v>
      </c>
      <c r="G73" s="503">
        <v>43238</v>
      </c>
      <c r="H73" s="503">
        <v>43248</v>
      </c>
      <c r="I73" s="504">
        <v>96000</v>
      </c>
      <c r="J73" s="505"/>
      <c r="K73" s="505"/>
      <c r="L73" s="506"/>
      <c r="M73" s="502"/>
      <c r="O73" s="507">
        <f t="shared" si="0"/>
        <v>0</v>
      </c>
    </row>
    <row r="74" spans="1:15">
      <c r="A74" s="280" t="s">
        <v>1955</v>
      </c>
      <c r="B74" s="281" t="s">
        <v>174</v>
      </c>
      <c r="C74" s="282" t="s">
        <v>1954</v>
      </c>
      <c r="D74" s="281" t="s">
        <v>33</v>
      </c>
      <c r="E74" s="281" t="s">
        <v>290</v>
      </c>
      <c r="F74" s="503">
        <v>43216</v>
      </c>
      <c r="G74" s="503">
        <v>43235</v>
      </c>
      <c r="H74" s="503">
        <v>43299</v>
      </c>
      <c r="I74" s="504">
        <v>469225.56</v>
      </c>
      <c r="J74" s="505"/>
      <c r="K74" s="505"/>
      <c r="L74" s="506"/>
      <c r="M74" s="502"/>
      <c r="O74" s="507">
        <f t="shared" si="0"/>
        <v>0</v>
      </c>
    </row>
    <row r="75" spans="1:15">
      <c r="A75" s="280" t="s">
        <v>1956</v>
      </c>
      <c r="B75" s="281" t="s">
        <v>23</v>
      </c>
      <c r="C75" s="282" t="s">
        <v>1954</v>
      </c>
      <c r="D75" s="281" t="s">
        <v>1879</v>
      </c>
      <c r="E75" s="281" t="s">
        <v>1891</v>
      </c>
      <c r="F75" s="503">
        <v>43216</v>
      </c>
      <c r="G75" s="503">
        <v>43235</v>
      </c>
      <c r="H75" s="503">
        <v>43249</v>
      </c>
      <c r="I75" s="504">
        <v>103000</v>
      </c>
      <c r="J75" s="505"/>
      <c r="K75" s="505"/>
      <c r="L75" s="506"/>
      <c r="M75" s="502"/>
      <c r="O75" s="507">
        <f t="shared" ref="O75:O138" si="1">IF($J75&gt;P$8,$J75-P$8,0)</f>
        <v>0</v>
      </c>
    </row>
    <row r="76" spans="1:15">
      <c r="A76" s="280" t="s">
        <v>1955</v>
      </c>
      <c r="B76" s="281" t="s">
        <v>174</v>
      </c>
      <c r="C76" s="282" t="s">
        <v>1954</v>
      </c>
      <c r="D76" s="281" t="s">
        <v>33</v>
      </c>
      <c r="E76" s="281" t="s">
        <v>290</v>
      </c>
      <c r="F76" s="503">
        <v>43216</v>
      </c>
      <c r="G76" s="503">
        <v>43235</v>
      </c>
      <c r="H76" s="503">
        <v>43299</v>
      </c>
      <c r="I76" s="504">
        <v>6000</v>
      </c>
      <c r="J76" s="505">
        <v>674225.56</v>
      </c>
      <c r="K76" s="505">
        <v>460612</v>
      </c>
      <c r="L76" s="506">
        <v>213613.56000000006</v>
      </c>
      <c r="M76" s="502"/>
      <c r="O76" s="507">
        <f t="shared" si="1"/>
        <v>0</v>
      </c>
    </row>
    <row r="77" spans="1:15">
      <c r="A77" s="280" t="s">
        <v>2148</v>
      </c>
      <c r="B77" s="281" t="s">
        <v>174</v>
      </c>
      <c r="C77" s="282" t="s">
        <v>2151</v>
      </c>
      <c r="D77" s="281" t="s">
        <v>33</v>
      </c>
      <c r="E77" s="281" t="s">
        <v>2152</v>
      </c>
      <c r="F77" s="503">
        <v>43233</v>
      </c>
      <c r="G77" s="503">
        <v>43256</v>
      </c>
      <c r="H77" s="503">
        <v>43273</v>
      </c>
      <c r="I77" s="504">
        <v>91334.81</v>
      </c>
      <c r="J77" s="505"/>
      <c r="K77" s="505"/>
      <c r="L77" s="506"/>
      <c r="M77" s="502"/>
      <c r="O77" s="507">
        <f t="shared" si="1"/>
        <v>0</v>
      </c>
    </row>
    <row r="78" spans="1:15">
      <c r="A78" s="280" t="s">
        <v>2149</v>
      </c>
      <c r="B78" s="281" t="s">
        <v>174</v>
      </c>
      <c r="C78" s="282" t="s">
        <v>2151</v>
      </c>
      <c r="D78" s="281" t="s">
        <v>33</v>
      </c>
      <c r="E78" s="281" t="s">
        <v>2153</v>
      </c>
      <c r="F78" s="503">
        <v>43233</v>
      </c>
      <c r="G78" s="503">
        <v>43413</v>
      </c>
      <c r="H78" s="503">
        <v>43419</v>
      </c>
      <c r="I78" s="504">
        <v>327814.7</v>
      </c>
      <c r="J78" s="505"/>
      <c r="K78" s="505"/>
      <c r="L78" s="506"/>
      <c r="M78" s="502"/>
      <c r="O78" s="507">
        <f t="shared" si="1"/>
        <v>0</v>
      </c>
    </row>
    <row r="79" spans="1:15">
      <c r="A79" s="280" t="s">
        <v>2150</v>
      </c>
      <c r="B79" s="281" t="s">
        <v>23</v>
      </c>
      <c r="C79" s="282" t="s">
        <v>2151</v>
      </c>
      <c r="D79" s="281" t="s">
        <v>1879</v>
      </c>
      <c r="E79" s="281" t="s">
        <v>2153</v>
      </c>
      <c r="F79" s="503">
        <v>43233</v>
      </c>
      <c r="G79" s="503">
        <v>43413</v>
      </c>
      <c r="H79" s="503">
        <v>43419</v>
      </c>
      <c r="I79" s="504">
        <v>117232.82</v>
      </c>
      <c r="J79" s="505">
        <v>536382.33000000007</v>
      </c>
      <c r="K79" s="505">
        <v>460612</v>
      </c>
      <c r="L79" s="506">
        <v>75770.330000000075</v>
      </c>
      <c r="M79" s="502"/>
      <c r="O79" s="507">
        <f t="shared" si="1"/>
        <v>0</v>
      </c>
    </row>
    <row r="80" spans="1:15">
      <c r="A80" s="280" t="s">
        <v>2154</v>
      </c>
      <c r="B80" s="281" t="s">
        <v>174</v>
      </c>
      <c r="C80" s="282" t="s">
        <v>2159</v>
      </c>
      <c r="D80" s="281" t="s">
        <v>33</v>
      </c>
      <c r="E80" s="281" t="s">
        <v>38</v>
      </c>
      <c r="F80" s="503">
        <v>43298</v>
      </c>
      <c r="G80" s="503">
        <v>43447</v>
      </c>
      <c r="H80" s="503">
        <v>43455</v>
      </c>
      <c r="I80" s="504">
        <v>409999.01</v>
      </c>
      <c r="J80" s="505"/>
      <c r="K80" s="505"/>
      <c r="L80" s="506"/>
      <c r="M80" s="502"/>
      <c r="O80" s="507">
        <f t="shared" si="1"/>
        <v>0</v>
      </c>
    </row>
    <row r="81" spans="1:15">
      <c r="A81" s="280" t="s">
        <v>2155</v>
      </c>
      <c r="B81" s="281" t="s">
        <v>23</v>
      </c>
      <c r="C81" s="282" t="s">
        <v>2159</v>
      </c>
      <c r="D81" s="281" t="s">
        <v>1879</v>
      </c>
      <c r="E81" s="281" t="s">
        <v>38</v>
      </c>
      <c r="F81" s="503">
        <v>43298</v>
      </c>
      <c r="G81" s="503">
        <v>43447</v>
      </c>
      <c r="H81" s="503">
        <v>43455</v>
      </c>
      <c r="I81" s="504">
        <v>84298.07</v>
      </c>
      <c r="J81" s="505">
        <v>494297.08</v>
      </c>
      <c r="K81" s="505">
        <v>460612</v>
      </c>
      <c r="L81" s="506">
        <v>33685.080000000016</v>
      </c>
      <c r="M81" s="502"/>
      <c r="O81" s="507">
        <f t="shared" si="1"/>
        <v>0</v>
      </c>
    </row>
    <row r="82" spans="1:15">
      <c r="A82" s="280" t="s">
        <v>2156</v>
      </c>
      <c r="B82" s="281" t="s">
        <v>1917</v>
      </c>
      <c r="C82" s="282" t="s">
        <v>2160</v>
      </c>
      <c r="D82" s="281" t="s">
        <v>33</v>
      </c>
      <c r="E82" s="281" t="s">
        <v>84</v>
      </c>
      <c r="F82" s="503">
        <v>43379</v>
      </c>
      <c r="G82" s="503">
        <v>43389</v>
      </c>
      <c r="H82" s="503">
        <v>43399</v>
      </c>
      <c r="I82" s="504">
        <v>50000</v>
      </c>
      <c r="J82" s="505"/>
      <c r="K82" s="505"/>
      <c r="L82" s="506"/>
      <c r="M82" s="502"/>
      <c r="O82" s="507">
        <f t="shared" si="1"/>
        <v>0</v>
      </c>
    </row>
    <row r="83" spans="1:15">
      <c r="A83" s="280" t="s">
        <v>2157</v>
      </c>
      <c r="B83" s="281" t="s">
        <v>30</v>
      </c>
      <c r="C83" s="282" t="s">
        <v>2160</v>
      </c>
      <c r="D83" s="281" t="s">
        <v>2070</v>
      </c>
      <c r="E83" s="281" t="s">
        <v>84</v>
      </c>
      <c r="F83" s="503">
        <v>43379</v>
      </c>
      <c r="G83" s="503">
        <v>43389</v>
      </c>
      <c r="H83" s="503">
        <v>43399</v>
      </c>
      <c r="I83" s="504">
        <v>104500</v>
      </c>
      <c r="J83" s="505"/>
      <c r="K83" s="505"/>
      <c r="L83" s="506"/>
      <c r="M83" s="502"/>
      <c r="O83" s="507">
        <f t="shared" si="1"/>
        <v>0</v>
      </c>
    </row>
    <row r="84" spans="1:15">
      <c r="A84" s="280" t="s">
        <v>2158</v>
      </c>
      <c r="B84" s="281" t="s">
        <v>174</v>
      </c>
      <c r="C84" s="282" t="s">
        <v>2160</v>
      </c>
      <c r="D84" s="281" t="s">
        <v>33</v>
      </c>
      <c r="E84" s="281" t="s">
        <v>84</v>
      </c>
      <c r="F84" s="503">
        <v>43379</v>
      </c>
      <c r="G84" s="503">
        <v>43389</v>
      </c>
      <c r="H84" s="503">
        <v>43399</v>
      </c>
      <c r="I84" s="504">
        <v>569364.47</v>
      </c>
      <c r="J84" s="505">
        <v>723864.47</v>
      </c>
      <c r="K84" s="505">
        <v>460612</v>
      </c>
      <c r="L84" s="506">
        <v>263252.46999999997</v>
      </c>
      <c r="M84" s="502"/>
      <c r="O84" s="507">
        <f t="shared" si="1"/>
        <v>2160.4699999999721</v>
      </c>
    </row>
    <row r="85" spans="1:15">
      <c r="A85" s="280" t="s">
        <v>1906</v>
      </c>
      <c r="B85" s="281" t="s">
        <v>93</v>
      </c>
      <c r="C85" s="282" t="s">
        <v>1907</v>
      </c>
      <c r="D85" s="281" t="s">
        <v>33</v>
      </c>
      <c r="E85" s="281" t="s">
        <v>1908</v>
      </c>
      <c r="F85" s="503">
        <v>43139</v>
      </c>
      <c r="G85" s="503">
        <v>43164</v>
      </c>
      <c r="H85" s="503">
        <v>43241</v>
      </c>
      <c r="I85" s="504">
        <v>510000</v>
      </c>
      <c r="J85" s="505"/>
      <c r="K85" s="505"/>
      <c r="L85" s="506"/>
      <c r="M85" s="502"/>
      <c r="O85" s="507">
        <f t="shared" si="1"/>
        <v>0</v>
      </c>
    </row>
    <row r="86" spans="1:15">
      <c r="A86" s="280" t="s">
        <v>1909</v>
      </c>
      <c r="B86" s="281" t="s">
        <v>23</v>
      </c>
      <c r="C86" s="282" t="s">
        <v>1907</v>
      </c>
      <c r="D86" s="281" t="s">
        <v>1879</v>
      </c>
      <c r="E86" s="281" t="s">
        <v>1910</v>
      </c>
      <c r="F86" s="503">
        <v>43139</v>
      </c>
      <c r="G86" s="503">
        <v>43164</v>
      </c>
      <c r="H86" s="503">
        <v>43214</v>
      </c>
      <c r="I86" s="504">
        <v>27086.15</v>
      </c>
      <c r="J86" s="505">
        <v>537086.15</v>
      </c>
      <c r="K86" s="505">
        <v>460612</v>
      </c>
      <c r="L86" s="506">
        <v>76474.150000000023</v>
      </c>
      <c r="M86" s="502"/>
      <c r="O86" s="507">
        <f t="shared" si="1"/>
        <v>0</v>
      </c>
    </row>
    <row r="87" spans="1:15">
      <c r="A87" s="280" t="s">
        <v>2161</v>
      </c>
      <c r="B87" s="281" t="s">
        <v>174</v>
      </c>
      <c r="C87" s="282" t="s">
        <v>2163</v>
      </c>
      <c r="D87" s="281" t="s">
        <v>2071</v>
      </c>
      <c r="E87" s="281" t="s">
        <v>84</v>
      </c>
      <c r="F87" s="503">
        <v>43318</v>
      </c>
      <c r="G87" s="503">
        <v>43399</v>
      </c>
      <c r="H87" s="503">
        <v>43413</v>
      </c>
      <c r="I87" s="504">
        <v>1016985.8</v>
      </c>
      <c r="J87" s="505"/>
      <c r="K87" s="505"/>
      <c r="L87" s="506"/>
      <c r="M87" s="502"/>
      <c r="O87" s="507">
        <f t="shared" si="1"/>
        <v>0</v>
      </c>
    </row>
    <row r="88" spans="1:15">
      <c r="A88" s="280" t="s">
        <v>2162</v>
      </c>
      <c r="B88" s="281" t="s">
        <v>23</v>
      </c>
      <c r="C88" s="282" t="s">
        <v>2163</v>
      </c>
      <c r="D88" s="281" t="s">
        <v>1879</v>
      </c>
      <c r="E88" s="281" t="s">
        <v>84</v>
      </c>
      <c r="F88" s="503">
        <v>43318</v>
      </c>
      <c r="G88" s="503">
        <v>43399</v>
      </c>
      <c r="H88" s="503">
        <v>43413</v>
      </c>
      <c r="I88" s="504">
        <v>107500</v>
      </c>
      <c r="J88" s="505"/>
      <c r="K88" s="505"/>
      <c r="L88" s="506"/>
      <c r="M88" s="502"/>
      <c r="O88" s="507">
        <f t="shared" si="1"/>
        <v>0</v>
      </c>
    </row>
    <row r="89" spans="1:15">
      <c r="A89" s="280" t="s">
        <v>2161</v>
      </c>
      <c r="B89" s="281" t="s">
        <v>174</v>
      </c>
      <c r="C89" s="282" t="s">
        <v>2163</v>
      </c>
      <c r="D89" s="281" t="s">
        <v>2071</v>
      </c>
      <c r="E89" s="281" t="s">
        <v>84</v>
      </c>
      <c r="F89" s="503">
        <v>43318</v>
      </c>
      <c r="G89" s="503">
        <v>43399</v>
      </c>
      <c r="H89" s="503">
        <v>43447</v>
      </c>
      <c r="I89" s="504">
        <v>11772.51</v>
      </c>
      <c r="J89" s="505">
        <v>1136258.31</v>
      </c>
      <c r="K89" s="505">
        <v>460612</v>
      </c>
      <c r="L89" s="506">
        <v>675646.31</v>
      </c>
      <c r="M89" s="502"/>
      <c r="O89" s="507">
        <f t="shared" si="1"/>
        <v>414554.31000000006</v>
      </c>
    </row>
    <row r="90" spans="1:15">
      <c r="A90" s="280" t="s">
        <v>1911</v>
      </c>
      <c r="B90" s="281" t="s">
        <v>174</v>
      </c>
      <c r="C90" s="282" t="s">
        <v>1912</v>
      </c>
      <c r="D90" s="281" t="s">
        <v>33</v>
      </c>
      <c r="E90" s="281" t="s">
        <v>165</v>
      </c>
      <c r="F90" s="503">
        <v>43153</v>
      </c>
      <c r="G90" s="503">
        <v>43231</v>
      </c>
      <c r="H90" s="503">
        <v>43248</v>
      </c>
      <c r="I90" s="504">
        <v>416656.96</v>
      </c>
      <c r="J90" s="505"/>
      <c r="K90" s="505"/>
      <c r="L90" s="506"/>
      <c r="M90" s="502"/>
      <c r="O90" s="507">
        <f t="shared" si="1"/>
        <v>0</v>
      </c>
    </row>
    <row r="91" spans="1:15">
      <c r="A91" s="280" t="s">
        <v>1913</v>
      </c>
      <c r="B91" s="281" t="s">
        <v>23</v>
      </c>
      <c r="C91" s="282" t="s">
        <v>1912</v>
      </c>
      <c r="D91" s="281" t="s">
        <v>1879</v>
      </c>
      <c r="E91" s="281" t="s">
        <v>165</v>
      </c>
      <c r="F91" s="503">
        <v>43153</v>
      </c>
      <c r="G91" s="503">
        <v>43231</v>
      </c>
      <c r="H91" s="503">
        <v>43248</v>
      </c>
      <c r="I91" s="504">
        <v>62955.99</v>
      </c>
      <c r="J91" s="505">
        <v>479612.95</v>
      </c>
      <c r="K91" s="505">
        <v>460612</v>
      </c>
      <c r="L91" s="506">
        <v>19000.950000000012</v>
      </c>
      <c r="M91" s="502"/>
      <c r="O91" s="507">
        <f t="shared" si="1"/>
        <v>0</v>
      </c>
    </row>
    <row r="92" spans="1:15">
      <c r="A92" s="280" t="s">
        <v>2164</v>
      </c>
      <c r="B92" s="281" t="s">
        <v>93</v>
      </c>
      <c r="C92" s="282" t="s">
        <v>2167</v>
      </c>
      <c r="D92" s="281" t="s">
        <v>2070</v>
      </c>
      <c r="E92" s="281" t="s">
        <v>59</v>
      </c>
      <c r="F92" s="503">
        <v>43431</v>
      </c>
      <c r="G92" s="503">
        <v>43503</v>
      </c>
      <c r="H92" s="503">
        <v>43514</v>
      </c>
      <c r="I92" s="504">
        <v>425000</v>
      </c>
      <c r="J92" s="505"/>
      <c r="K92" s="505"/>
      <c r="L92" s="506"/>
      <c r="M92" s="502"/>
      <c r="O92" s="507">
        <f t="shared" si="1"/>
        <v>0</v>
      </c>
    </row>
    <row r="93" spans="1:15">
      <c r="A93" s="280" t="s">
        <v>2165</v>
      </c>
      <c r="B93" s="281" t="s">
        <v>1917</v>
      </c>
      <c r="C93" s="282" t="s">
        <v>2167</v>
      </c>
      <c r="D93" s="281" t="s">
        <v>33</v>
      </c>
      <c r="E93" s="281" t="s">
        <v>59</v>
      </c>
      <c r="F93" s="503">
        <v>43431</v>
      </c>
      <c r="G93" s="503">
        <v>43503</v>
      </c>
      <c r="H93" s="503">
        <v>43515</v>
      </c>
      <c r="I93" s="504">
        <v>50000</v>
      </c>
      <c r="J93" s="505"/>
      <c r="K93" s="505"/>
      <c r="L93" s="506"/>
      <c r="M93" s="502"/>
      <c r="O93" s="507">
        <f t="shared" si="1"/>
        <v>0</v>
      </c>
    </row>
    <row r="94" spans="1:15">
      <c r="A94" s="280" t="s">
        <v>2166</v>
      </c>
      <c r="B94" s="281" t="s">
        <v>23</v>
      </c>
      <c r="C94" s="282" t="s">
        <v>2167</v>
      </c>
      <c r="D94" s="281" t="s">
        <v>1879</v>
      </c>
      <c r="E94" s="281" t="s">
        <v>59</v>
      </c>
      <c r="F94" s="503">
        <v>43431</v>
      </c>
      <c r="G94" s="503">
        <v>43503</v>
      </c>
      <c r="H94" s="503">
        <v>43514</v>
      </c>
      <c r="I94" s="504">
        <v>32136.8675</v>
      </c>
      <c r="J94" s="505">
        <v>507136.86749999999</v>
      </c>
      <c r="K94" s="505">
        <v>460612</v>
      </c>
      <c r="L94" s="506">
        <v>46524.867499999993</v>
      </c>
      <c r="M94" s="502"/>
      <c r="O94" s="507">
        <f t="shared" si="1"/>
        <v>0</v>
      </c>
    </row>
    <row r="95" spans="1:15">
      <c r="A95" s="280" t="s">
        <v>2168</v>
      </c>
      <c r="B95" s="281" t="s">
        <v>1917</v>
      </c>
      <c r="C95" s="282" t="s">
        <v>2172</v>
      </c>
      <c r="D95" s="281" t="s">
        <v>33</v>
      </c>
      <c r="E95" s="281" t="s">
        <v>84</v>
      </c>
      <c r="F95" s="503">
        <v>43368</v>
      </c>
      <c r="G95" s="503">
        <v>43543</v>
      </c>
      <c r="H95" s="503">
        <v>43546</v>
      </c>
      <c r="I95" s="504">
        <v>7000</v>
      </c>
      <c r="J95" s="505"/>
      <c r="K95" s="505"/>
      <c r="L95" s="506"/>
      <c r="M95" s="502"/>
      <c r="O95" s="507">
        <f t="shared" si="1"/>
        <v>0</v>
      </c>
    </row>
    <row r="96" spans="1:15">
      <c r="A96" s="280" t="s">
        <v>2169</v>
      </c>
      <c r="B96" s="281" t="s">
        <v>174</v>
      </c>
      <c r="C96" s="282" t="s">
        <v>2172</v>
      </c>
      <c r="D96" s="281" t="s">
        <v>33</v>
      </c>
      <c r="E96" s="281" t="s">
        <v>84</v>
      </c>
      <c r="F96" s="503">
        <v>43368</v>
      </c>
      <c r="G96" s="503">
        <v>43543</v>
      </c>
      <c r="H96" s="503">
        <v>43546</v>
      </c>
      <c r="I96" s="504">
        <v>411515.55</v>
      </c>
      <c r="J96" s="505"/>
      <c r="K96" s="505"/>
      <c r="L96" s="506"/>
      <c r="M96" s="502"/>
      <c r="O96" s="507">
        <f t="shared" si="1"/>
        <v>0</v>
      </c>
    </row>
    <row r="97" spans="1:15">
      <c r="A97" s="280" t="s">
        <v>2170</v>
      </c>
      <c r="B97" s="281" t="s">
        <v>23</v>
      </c>
      <c r="C97" s="282" t="s">
        <v>2172</v>
      </c>
      <c r="D97" s="281" t="s">
        <v>1879</v>
      </c>
      <c r="E97" s="281" t="s">
        <v>84</v>
      </c>
      <c r="F97" s="503">
        <v>43368</v>
      </c>
      <c r="G97" s="503">
        <v>43543</v>
      </c>
      <c r="H97" s="503">
        <v>43546</v>
      </c>
      <c r="I97" s="504">
        <v>54500</v>
      </c>
      <c r="J97" s="505"/>
      <c r="K97" s="505"/>
      <c r="L97" s="506"/>
      <c r="M97" s="502"/>
      <c r="O97" s="507">
        <f t="shared" si="1"/>
        <v>0</v>
      </c>
    </row>
    <row r="98" spans="1:15">
      <c r="A98" s="280" t="s">
        <v>2171</v>
      </c>
      <c r="B98" s="281" t="s">
        <v>174</v>
      </c>
      <c r="C98" s="282" t="s">
        <v>2172</v>
      </c>
      <c r="D98" s="281" t="s">
        <v>2071</v>
      </c>
      <c r="E98" s="281" t="s">
        <v>655</v>
      </c>
      <c r="F98" s="503">
        <v>43368</v>
      </c>
      <c r="G98" s="503">
        <v>43539</v>
      </c>
      <c r="H98" s="503">
        <v>43595</v>
      </c>
      <c r="I98" s="504">
        <v>20008.07</v>
      </c>
      <c r="J98" s="505">
        <v>493023.62</v>
      </c>
      <c r="K98" s="505">
        <v>460612</v>
      </c>
      <c r="L98" s="506">
        <v>32411.619999999995</v>
      </c>
      <c r="M98" s="502"/>
      <c r="O98" s="507">
        <f t="shared" si="1"/>
        <v>0</v>
      </c>
    </row>
    <row r="99" spans="1:15">
      <c r="A99" s="280" t="s">
        <v>1957</v>
      </c>
      <c r="B99" s="281" t="s">
        <v>174</v>
      </c>
      <c r="C99" s="282" t="s">
        <v>1958</v>
      </c>
      <c r="D99" s="281" t="s">
        <v>33</v>
      </c>
      <c r="E99" s="281" t="s">
        <v>59</v>
      </c>
      <c r="F99" s="503">
        <v>43253</v>
      </c>
      <c r="G99" s="503">
        <v>43279</v>
      </c>
      <c r="H99" s="503">
        <v>43297</v>
      </c>
      <c r="I99" s="504">
        <v>2023120.4000000001</v>
      </c>
      <c r="J99" s="505"/>
      <c r="K99" s="505"/>
      <c r="L99" s="506"/>
      <c r="M99" s="502"/>
      <c r="O99" s="507">
        <f t="shared" si="1"/>
        <v>0</v>
      </c>
    </row>
    <row r="100" spans="1:15">
      <c r="A100" s="280" t="s">
        <v>1959</v>
      </c>
      <c r="B100" s="281" t="s">
        <v>23</v>
      </c>
      <c r="C100" s="282" t="s">
        <v>1958</v>
      </c>
      <c r="D100" s="281" t="s">
        <v>1879</v>
      </c>
      <c r="E100" s="281" t="s">
        <v>59</v>
      </c>
      <c r="F100" s="503">
        <v>43253</v>
      </c>
      <c r="G100" s="503">
        <v>43279</v>
      </c>
      <c r="H100" s="503">
        <v>43297</v>
      </c>
      <c r="I100" s="504">
        <v>307500</v>
      </c>
      <c r="J100" s="505"/>
      <c r="K100" s="505"/>
      <c r="L100" s="506"/>
      <c r="M100" s="502"/>
      <c r="O100" s="507">
        <f t="shared" si="1"/>
        <v>0</v>
      </c>
    </row>
    <row r="101" spans="1:15">
      <c r="A101" s="280" t="s">
        <v>1960</v>
      </c>
      <c r="B101" s="281" t="s">
        <v>23</v>
      </c>
      <c r="C101" s="282" t="s">
        <v>1958</v>
      </c>
      <c r="D101" s="281" t="s">
        <v>1879</v>
      </c>
      <c r="E101" s="281" t="s">
        <v>483</v>
      </c>
      <c r="F101" s="503">
        <v>43253</v>
      </c>
      <c r="G101" s="503">
        <v>43265</v>
      </c>
      <c r="H101" s="503">
        <v>43287</v>
      </c>
      <c r="I101" s="504">
        <v>52900.270000000004</v>
      </c>
      <c r="J101" s="505">
        <v>2383520.6700000004</v>
      </c>
      <c r="K101" s="505">
        <v>460612</v>
      </c>
      <c r="L101" s="506">
        <v>1922908.6700000004</v>
      </c>
      <c r="M101" s="502"/>
      <c r="O101" s="507">
        <f t="shared" si="1"/>
        <v>1661816.6700000004</v>
      </c>
    </row>
    <row r="102" spans="1:15">
      <c r="A102" s="280" t="s">
        <v>1961</v>
      </c>
      <c r="B102" s="281" t="s">
        <v>30</v>
      </c>
      <c r="C102" s="282" t="s">
        <v>1962</v>
      </c>
      <c r="D102" s="281" t="s">
        <v>2173</v>
      </c>
      <c r="E102" s="281" t="s">
        <v>25</v>
      </c>
      <c r="F102" s="503">
        <v>43224</v>
      </c>
      <c r="G102" s="503">
        <v>43321</v>
      </c>
      <c r="H102" s="503">
        <v>43332</v>
      </c>
      <c r="I102" s="504">
        <v>115000</v>
      </c>
      <c r="J102" s="505"/>
      <c r="K102" s="505"/>
      <c r="L102" s="506"/>
      <c r="M102" s="502"/>
      <c r="O102" s="507">
        <f t="shared" si="1"/>
        <v>0</v>
      </c>
    </row>
    <row r="103" spans="1:15">
      <c r="A103" s="280" t="s">
        <v>1963</v>
      </c>
      <c r="B103" s="281" t="s">
        <v>174</v>
      </c>
      <c r="C103" s="282" t="s">
        <v>1962</v>
      </c>
      <c r="D103" s="281" t="s">
        <v>2071</v>
      </c>
      <c r="E103" s="281" t="s">
        <v>25</v>
      </c>
      <c r="F103" s="503">
        <v>43224</v>
      </c>
      <c r="G103" s="503">
        <v>43321</v>
      </c>
      <c r="H103" s="503">
        <v>43334</v>
      </c>
      <c r="I103" s="504">
        <v>1356162.94</v>
      </c>
      <c r="J103" s="505"/>
      <c r="K103" s="505"/>
      <c r="L103" s="506"/>
      <c r="M103" s="502"/>
      <c r="O103" s="507">
        <f t="shared" si="1"/>
        <v>0</v>
      </c>
    </row>
    <row r="104" spans="1:15">
      <c r="A104" s="280" t="s">
        <v>1964</v>
      </c>
      <c r="B104" s="281" t="s">
        <v>1900</v>
      </c>
      <c r="C104" s="282" t="s">
        <v>1962</v>
      </c>
      <c r="D104" s="281" t="s">
        <v>2070</v>
      </c>
      <c r="E104" s="281" t="s">
        <v>26</v>
      </c>
      <c r="F104" s="503">
        <v>43224</v>
      </c>
      <c r="G104" s="503">
        <v>43297</v>
      </c>
      <c r="H104" s="503">
        <v>43304</v>
      </c>
      <c r="I104" s="504">
        <v>105000</v>
      </c>
      <c r="J104" s="505"/>
      <c r="K104" s="505"/>
      <c r="L104" s="506"/>
      <c r="M104" s="502"/>
      <c r="O104" s="507">
        <f t="shared" si="1"/>
        <v>0</v>
      </c>
    </row>
    <row r="105" spans="1:15">
      <c r="A105" s="280" t="s">
        <v>1965</v>
      </c>
      <c r="B105" s="281" t="s">
        <v>23</v>
      </c>
      <c r="C105" s="282" t="s">
        <v>1962</v>
      </c>
      <c r="D105" s="281" t="s">
        <v>2174</v>
      </c>
      <c r="E105" s="281" t="s">
        <v>26</v>
      </c>
      <c r="F105" s="503">
        <v>43224</v>
      </c>
      <c r="G105" s="503">
        <v>43297</v>
      </c>
      <c r="H105" s="503">
        <v>43307</v>
      </c>
      <c r="I105" s="504">
        <v>15000</v>
      </c>
      <c r="J105" s="505">
        <v>1591162.94</v>
      </c>
      <c r="K105" s="505">
        <v>460612</v>
      </c>
      <c r="L105" s="506">
        <v>1130550.94</v>
      </c>
      <c r="M105" s="502"/>
      <c r="O105" s="507">
        <f t="shared" si="1"/>
        <v>869458.94</v>
      </c>
    </row>
    <row r="106" spans="1:15">
      <c r="A106" s="280" t="s">
        <v>1914</v>
      </c>
      <c r="B106" s="281" t="s">
        <v>93</v>
      </c>
      <c r="C106" s="282" t="s">
        <v>1915</v>
      </c>
      <c r="D106" s="281" t="s">
        <v>2070</v>
      </c>
      <c r="E106" s="281" t="s">
        <v>279</v>
      </c>
      <c r="F106" s="503">
        <v>43122</v>
      </c>
      <c r="G106" s="503">
        <v>43165</v>
      </c>
      <c r="H106" s="503">
        <v>43248</v>
      </c>
      <c r="I106" s="504">
        <v>2560000</v>
      </c>
      <c r="J106" s="505"/>
      <c r="K106" s="505"/>
      <c r="L106" s="506"/>
      <c r="M106" s="502"/>
      <c r="O106" s="507">
        <f t="shared" si="1"/>
        <v>0</v>
      </c>
    </row>
    <row r="107" spans="1:15">
      <c r="A107" s="280" t="s">
        <v>1916</v>
      </c>
      <c r="B107" s="281" t="s">
        <v>1917</v>
      </c>
      <c r="C107" s="282" t="s">
        <v>1915</v>
      </c>
      <c r="D107" s="281" t="s">
        <v>33</v>
      </c>
      <c r="E107" s="281" t="s">
        <v>279</v>
      </c>
      <c r="F107" s="503">
        <v>43122</v>
      </c>
      <c r="G107" s="503">
        <v>43192</v>
      </c>
      <c r="H107" s="503">
        <v>43228</v>
      </c>
      <c r="I107" s="504">
        <v>7000</v>
      </c>
      <c r="J107" s="505"/>
      <c r="K107" s="505"/>
      <c r="L107" s="506"/>
      <c r="M107" s="502"/>
      <c r="O107" s="507">
        <f t="shared" si="1"/>
        <v>0</v>
      </c>
    </row>
    <row r="108" spans="1:15">
      <c r="A108" s="280" t="s">
        <v>1918</v>
      </c>
      <c r="B108" s="281" t="s">
        <v>174</v>
      </c>
      <c r="C108" s="282" t="s">
        <v>1915</v>
      </c>
      <c r="D108" s="281" t="s">
        <v>33</v>
      </c>
      <c r="E108" s="281" t="s">
        <v>279</v>
      </c>
      <c r="F108" s="503">
        <v>43122</v>
      </c>
      <c r="G108" s="503">
        <v>43192</v>
      </c>
      <c r="H108" s="503">
        <v>43228</v>
      </c>
      <c r="I108" s="504">
        <v>379808.33</v>
      </c>
      <c r="J108" s="505"/>
      <c r="K108" s="505"/>
      <c r="L108" s="506"/>
      <c r="M108" s="502"/>
      <c r="O108" s="507">
        <f t="shared" si="1"/>
        <v>0</v>
      </c>
    </row>
    <row r="109" spans="1:15">
      <c r="A109" s="280" t="s">
        <v>1919</v>
      </c>
      <c r="B109" s="281" t="s">
        <v>23</v>
      </c>
      <c r="C109" s="282" t="s">
        <v>1915</v>
      </c>
      <c r="D109" s="281" t="s">
        <v>1879</v>
      </c>
      <c r="E109" s="281" t="s">
        <v>279</v>
      </c>
      <c r="F109" s="503">
        <v>43122</v>
      </c>
      <c r="G109" s="503">
        <v>43192</v>
      </c>
      <c r="H109" s="503">
        <v>43228</v>
      </c>
      <c r="I109" s="504">
        <v>2390.12</v>
      </c>
      <c r="J109" s="505"/>
      <c r="K109" s="505"/>
      <c r="L109" s="506"/>
      <c r="M109" s="502"/>
      <c r="O109" s="507">
        <f t="shared" si="1"/>
        <v>0</v>
      </c>
    </row>
    <row r="110" spans="1:15">
      <c r="A110" s="280" t="s">
        <v>1920</v>
      </c>
      <c r="B110" s="281" t="s">
        <v>958</v>
      </c>
      <c r="C110" s="282" t="s">
        <v>1915</v>
      </c>
      <c r="D110" s="281" t="s">
        <v>33</v>
      </c>
      <c r="E110" s="281" t="s">
        <v>279</v>
      </c>
      <c r="F110" s="503">
        <v>43122</v>
      </c>
      <c r="G110" s="503">
        <v>43220</v>
      </c>
      <c r="H110" s="503">
        <v>43248</v>
      </c>
      <c r="I110" s="504">
        <v>25000</v>
      </c>
      <c r="J110" s="505"/>
      <c r="K110" s="505"/>
      <c r="L110" s="506"/>
      <c r="M110" s="502"/>
      <c r="O110" s="507">
        <f t="shared" si="1"/>
        <v>0</v>
      </c>
    </row>
    <row r="111" spans="1:15">
      <c r="A111" s="280" t="s">
        <v>1921</v>
      </c>
      <c r="B111" s="281" t="s">
        <v>93</v>
      </c>
      <c r="C111" s="282" t="s">
        <v>1915</v>
      </c>
      <c r="D111" s="281" t="s">
        <v>2070</v>
      </c>
      <c r="E111" s="281" t="s">
        <v>279</v>
      </c>
      <c r="F111" s="503">
        <v>43122</v>
      </c>
      <c r="G111" s="503">
        <v>43165</v>
      </c>
      <c r="H111" s="503">
        <v>43182</v>
      </c>
      <c r="I111" s="504">
        <v>305000</v>
      </c>
      <c r="J111" s="505"/>
      <c r="K111" s="505"/>
      <c r="L111" s="506"/>
      <c r="M111" s="502"/>
      <c r="O111" s="507">
        <f t="shared" si="1"/>
        <v>0</v>
      </c>
    </row>
    <row r="112" spans="1:15">
      <c r="A112" s="280" t="s">
        <v>1922</v>
      </c>
      <c r="B112" s="281" t="s">
        <v>1917</v>
      </c>
      <c r="C112" s="282" t="s">
        <v>1915</v>
      </c>
      <c r="D112" s="281" t="s">
        <v>33</v>
      </c>
      <c r="E112" s="281" t="s">
        <v>279</v>
      </c>
      <c r="F112" s="503">
        <v>43122</v>
      </c>
      <c r="G112" s="503">
        <v>43165</v>
      </c>
      <c r="H112" s="503">
        <v>43182</v>
      </c>
      <c r="I112" s="504">
        <v>7000</v>
      </c>
      <c r="J112" s="505"/>
      <c r="K112" s="505"/>
      <c r="L112" s="506"/>
      <c r="M112" s="502"/>
      <c r="O112" s="507">
        <f t="shared" si="1"/>
        <v>0</v>
      </c>
    </row>
    <row r="113" spans="1:15">
      <c r="A113" s="280" t="s">
        <v>1923</v>
      </c>
      <c r="B113" s="281" t="s">
        <v>28</v>
      </c>
      <c r="C113" s="282" t="s">
        <v>1915</v>
      </c>
      <c r="D113" s="281" t="s">
        <v>33</v>
      </c>
      <c r="E113" s="281" t="s">
        <v>279</v>
      </c>
      <c r="F113" s="503">
        <v>43122</v>
      </c>
      <c r="G113" s="503">
        <v>43167</v>
      </c>
      <c r="H113" s="503">
        <v>43182</v>
      </c>
      <c r="I113" s="504">
        <v>17262.82</v>
      </c>
      <c r="J113" s="505"/>
      <c r="K113" s="505"/>
      <c r="L113" s="506"/>
      <c r="M113" s="502"/>
      <c r="O113" s="507">
        <f t="shared" si="1"/>
        <v>0</v>
      </c>
    </row>
    <row r="114" spans="1:15">
      <c r="A114" s="280" t="s">
        <v>1924</v>
      </c>
      <c r="B114" s="281" t="s">
        <v>23</v>
      </c>
      <c r="C114" s="282" t="s">
        <v>1915</v>
      </c>
      <c r="D114" s="281" t="s">
        <v>1879</v>
      </c>
      <c r="E114" s="281" t="s">
        <v>279</v>
      </c>
      <c r="F114" s="503">
        <v>43122</v>
      </c>
      <c r="G114" s="503">
        <v>43165</v>
      </c>
      <c r="H114" s="503">
        <v>43182</v>
      </c>
      <c r="I114" s="504">
        <v>38700.43</v>
      </c>
      <c r="J114" s="505">
        <v>3342161.7</v>
      </c>
      <c r="K114" s="505">
        <v>460612</v>
      </c>
      <c r="L114" s="506">
        <v>2881549.7</v>
      </c>
      <c r="M114" s="502"/>
      <c r="O114" s="507">
        <f t="shared" si="1"/>
        <v>2620457.7000000002</v>
      </c>
    </row>
    <row r="115" spans="1:15">
      <c r="A115" s="280" t="s">
        <v>1925</v>
      </c>
      <c r="B115" s="281" t="s">
        <v>174</v>
      </c>
      <c r="C115" s="282" t="s">
        <v>1926</v>
      </c>
      <c r="D115" s="281" t="s">
        <v>33</v>
      </c>
      <c r="E115" s="281" t="s">
        <v>1927</v>
      </c>
      <c r="F115" s="503">
        <v>43154</v>
      </c>
      <c r="G115" s="503">
        <v>43202</v>
      </c>
      <c r="H115" s="503">
        <v>43224</v>
      </c>
      <c r="I115" s="504">
        <v>540000</v>
      </c>
      <c r="J115" s="505"/>
      <c r="K115" s="505"/>
      <c r="L115" s="506"/>
      <c r="M115" s="502"/>
      <c r="O115" s="507">
        <f t="shared" si="1"/>
        <v>0</v>
      </c>
    </row>
    <row r="116" spans="1:15">
      <c r="A116" s="280" t="s">
        <v>1928</v>
      </c>
      <c r="B116" s="281" t="s">
        <v>23</v>
      </c>
      <c r="C116" s="282" t="s">
        <v>1926</v>
      </c>
      <c r="D116" s="281" t="s">
        <v>1879</v>
      </c>
      <c r="E116" s="281" t="s">
        <v>1927</v>
      </c>
      <c r="F116" s="503">
        <v>43154</v>
      </c>
      <c r="G116" s="503">
        <v>43202</v>
      </c>
      <c r="H116" s="503">
        <v>43224</v>
      </c>
      <c r="I116" s="504">
        <v>115000</v>
      </c>
      <c r="J116" s="505"/>
      <c r="K116" s="505"/>
      <c r="L116" s="506"/>
      <c r="M116" s="502"/>
      <c r="O116" s="507">
        <f t="shared" si="1"/>
        <v>0</v>
      </c>
    </row>
    <row r="117" spans="1:15">
      <c r="A117" s="280" t="s">
        <v>1925</v>
      </c>
      <c r="B117" s="281" t="s">
        <v>174</v>
      </c>
      <c r="C117" s="282" t="s">
        <v>1926</v>
      </c>
      <c r="D117" s="281" t="s">
        <v>33</v>
      </c>
      <c r="E117" s="281" t="s">
        <v>1927</v>
      </c>
      <c r="F117" s="503">
        <v>43154</v>
      </c>
      <c r="G117" s="503">
        <v>43202</v>
      </c>
      <c r="H117" s="503">
        <v>43224</v>
      </c>
      <c r="I117" s="504">
        <v>6000</v>
      </c>
      <c r="J117" s="505">
        <v>661000</v>
      </c>
      <c r="K117" s="505">
        <v>460612</v>
      </c>
      <c r="L117" s="506">
        <v>200388</v>
      </c>
      <c r="M117" s="502"/>
      <c r="O117" s="507">
        <f t="shared" si="1"/>
        <v>0</v>
      </c>
    </row>
    <row r="118" spans="1:15">
      <c r="A118" s="280" t="s">
        <v>1966</v>
      </c>
      <c r="B118" s="281" t="s">
        <v>174</v>
      </c>
      <c r="C118" s="282" t="s">
        <v>1967</v>
      </c>
      <c r="D118" s="281" t="s">
        <v>33</v>
      </c>
      <c r="E118" s="281" t="s">
        <v>38</v>
      </c>
      <c r="F118" s="503">
        <v>43223</v>
      </c>
      <c r="G118" s="503">
        <v>43301</v>
      </c>
      <c r="H118" s="503">
        <v>43314</v>
      </c>
      <c r="I118" s="504">
        <v>1500000</v>
      </c>
      <c r="J118" s="505"/>
      <c r="K118" s="505"/>
      <c r="L118" s="506"/>
      <c r="M118" s="502"/>
      <c r="O118" s="507">
        <f t="shared" si="1"/>
        <v>0</v>
      </c>
    </row>
    <row r="119" spans="1:15">
      <c r="A119" s="280" t="s">
        <v>1968</v>
      </c>
      <c r="B119" s="281" t="s">
        <v>23</v>
      </c>
      <c r="C119" s="282" t="s">
        <v>1967</v>
      </c>
      <c r="D119" s="281" t="s">
        <v>1879</v>
      </c>
      <c r="E119" s="281" t="s">
        <v>38</v>
      </c>
      <c r="F119" s="503">
        <v>43223</v>
      </c>
      <c r="G119" s="503">
        <v>43301</v>
      </c>
      <c r="H119" s="503">
        <v>43314</v>
      </c>
      <c r="I119" s="504">
        <v>103000</v>
      </c>
      <c r="J119" s="505">
        <v>1603000</v>
      </c>
      <c r="K119" s="505">
        <v>460612</v>
      </c>
      <c r="L119" s="506">
        <v>1142388</v>
      </c>
      <c r="M119" s="502"/>
      <c r="O119" s="507">
        <f t="shared" si="1"/>
        <v>881296</v>
      </c>
    </row>
    <row r="120" spans="1:15">
      <c r="A120" s="280" t="s">
        <v>1929</v>
      </c>
      <c r="B120" s="281" t="s">
        <v>1930</v>
      </c>
      <c r="C120" s="282" t="s">
        <v>1931</v>
      </c>
      <c r="D120" s="281" t="s">
        <v>2071</v>
      </c>
      <c r="E120" s="281" t="s">
        <v>1932</v>
      </c>
      <c r="F120" s="503">
        <v>43201</v>
      </c>
      <c r="G120" s="503">
        <v>43229</v>
      </c>
      <c r="H120" s="503">
        <v>43241</v>
      </c>
      <c r="I120" s="504">
        <v>170000</v>
      </c>
      <c r="J120" s="505"/>
      <c r="K120" s="505"/>
      <c r="L120" s="506"/>
      <c r="M120" s="502"/>
      <c r="O120" s="507">
        <f t="shared" si="1"/>
        <v>0</v>
      </c>
    </row>
    <row r="121" spans="1:15">
      <c r="A121" s="280" t="s">
        <v>1933</v>
      </c>
      <c r="B121" s="281" t="s">
        <v>1917</v>
      </c>
      <c r="C121" s="282" t="s">
        <v>1931</v>
      </c>
      <c r="D121" s="281" t="s">
        <v>33</v>
      </c>
      <c r="E121" s="281" t="s">
        <v>1934</v>
      </c>
      <c r="F121" s="503">
        <v>43201</v>
      </c>
      <c r="G121" s="503">
        <v>43228</v>
      </c>
      <c r="H121" s="503">
        <v>43265</v>
      </c>
      <c r="I121" s="504">
        <v>7000</v>
      </c>
      <c r="J121" s="505"/>
      <c r="K121" s="505"/>
      <c r="L121" s="506"/>
      <c r="M121" s="502"/>
      <c r="O121" s="507">
        <f t="shared" si="1"/>
        <v>0</v>
      </c>
    </row>
    <row r="122" spans="1:15">
      <c r="A122" s="280" t="s">
        <v>1935</v>
      </c>
      <c r="B122" s="281" t="s">
        <v>174</v>
      </c>
      <c r="C122" s="282" t="s">
        <v>1931</v>
      </c>
      <c r="D122" s="281" t="s">
        <v>33</v>
      </c>
      <c r="E122" s="281" t="s">
        <v>1934</v>
      </c>
      <c r="F122" s="503">
        <v>43201</v>
      </c>
      <c r="G122" s="503">
        <v>43228</v>
      </c>
      <c r="H122" s="503">
        <v>43265</v>
      </c>
      <c r="I122" s="504">
        <v>277288.90000000002</v>
      </c>
      <c r="J122" s="505"/>
      <c r="K122" s="505"/>
      <c r="L122" s="506"/>
      <c r="M122" s="502"/>
      <c r="O122" s="507">
        <f t="shared" si="1"/>
        <v>0</v>
      </c>
    </row>
    <row r="123" spans="1:15">
      <c r="A123" s="280" t="s">
        <v>1936</v>
      </c>
      <c r="B123" s="281" t="s">
        <v>23</v>
      </c>
      <c r="C123" s="282" t="s">
        <v>1931</v>
      </c>
      <c r="D123" s="281" t="s">
        <v>1879</v>
      </c>
      <c r="E123" s="281" t="s">
        <v>1934</v>
      </c>
      <c r="F123" s="503">
        <v>43201</v>
      </c>
      <c r="G123" s="503">
        <v>43228</v>
      </c>
      <c r="H123" s="503">
        <v>43265</v>
      </c>
      <c r="I123" s="504">
        <v>54500</v>
      </c>
      <c r="J123" s="505"/>
      <c r="K123" s="505"/>
      <c r="L123" s="506"/>
      <c r="M123" s="502"/>
      <c r="O123" s="507">
        <f t="shared" si="1"/>
        <v>0</v>
      </c>
    </row>
    <row r="124" spans="1:15">
      <c r="A124" s="280" t="s">
        <v>1974</v>
      </c>
      <c r="B124" s="281" t="s">
        <v>23</v>
      </c>
      <c r="C124" s="282" t="s">
        <v>1931</v>
      </c>
      <c r="D124" s="281" t="s">
        <v>1879</v>
      </c>
      <c r="E124" s="281" t="s">
        <v>1975</v>
      </c>
      <c r="F124" s="503">
        <v>43201</v>
      </c>
      <c r="G124" s="503">
        <v>43364</v>
      </c>
      <c r="H124" s="503">
        <v>43370</v>
      </c>
      <c r="I124" s="504">
        <v>9174.16</v>
      </c>
      <c r="J124" s="505">
        <v>517963.06</v>
      </c>
      <c r="K124" s="505">
        <v>460612</v>
      </c>
      <c r="L124" s="506">
        <v>57351.06</v>
      </c>
      <c r="M124" s="502"/>
      <c r="O124" s="507">
        <f t="shared" si="1"/>
        <v>0</v>
      </c>
    </row>
    <row r="125" spans="1:15">
      <c r="A125" s="280" t="s">
        <v>1976</v>
      </c>
      <c r="B125" s="281" t="s">
        <v>174</v>
      </c>
      <c r="C125" s="282" t="s">
        <v>1977</v>
      </c>
      <c r="D125" s="281" t="s">
        <v>33</v>
      </c>
      <c r="E125" s="281" t="s">
        <v>38</v>
      </c>
      <c r="F125" s="503">
        <v>43303</v>
      </c>
      <c r="G125" s="503">
        <v>43347</v>
      </c>
      <c r="H125" s="503">
        <v>43355</v>
      </c>
      <c r="I125" s="504">
        <v>870482.92</v>
      </c>
      <c r="J125" s="505"/>
      <c r="K125" s="505"/>
      <c r="L125" s="506"/>
      <c r="M125" s="502"/>
      <c r="O125" s="507">
        <f t="shared" si="1"/>
        <v>0</v>
      </c>
    </row>
    <row r="126" spans="1:15">
      <c r="A126" s="280" t="s">
        <v>1978</v>
      </c>
      <c r="B126" s="281" t="s">
        <v>23</v>
      </c>
      <c r="C126" s="282" t="s">
        <v>1977</v>
      </c>
      <c r="D126" s="281" t="s">
        <v>1879</v>
      </c>
      <c r="E126" s="281" t="s">
        <v>38</v>
      </c>
      <c r="F126" s="503">
        <v>43303</v>
      </c>
      <c r="G126" s="503">
        <v>43347</v>
      </c>
      <c r="H126" s="503">
        <v>43355</v>
      </c>
      <c r="I126" s="504">
        <v>104500</v>
      </c>
      <c r="J126" s="505">
        <v>974982.92</v>
      </c>
      <c r="K126" s="505">
        <v>460612</v>
      </c>
      <c r="L126" s="506">
        <v>514370.92000000004</v>
      </c>
      <c r="M126" s="502"/>
      <c r="O126" s="507">
        <f t="shared" si="1"/>
        <v>253278.92000000004</v>
      </c>
    </row>
    <row r="127" spans="1:15">
      <c r="A127" s="280" t="s">
        <v>2175</v>
      </c>
      <c r="B127" s="281" t="s">
        <v>1900</v>
      </c>
      <c r="C127" s="282" t="s">
        <v>2179</v>
      </c>
      <c r="D127" s="281" t="s">
        <v>2070</v>
      </c>
      <c r="E127" s="281" t="s">
        <v>26</v>
      </c>
      <c r="F127" s="503">
        <v>43258</v>
      </c>
      <c r="G127" s="503">
        <v>43325</v>
      </c>
      <c r="H127" s="503">
        <v>43335</v>
      </c>
      <c r="I127" s="504">
        <v>135000</v>
      </c>
      <c r="J127" s="505"/>
      <c r="K127" s="505"/>
      <c r="L127" s="506"/>
      <c r="M127" s="502"/>
      <c r="O127" s="507">
        <f t="shared" si="1"/>
        <v>0</v>
      </c>
    </row>
    <row r="128" spans="1:15">
      <c r="A128" s="280" t="s">
        <v>2176</v>
      </c>
      <c r="B128" s="281" t="s">
        <v>23</v>
      </c>
      <c r="C128" s="282" t="s">
        <v>2179</v>
      </c>
      <c r="D128" s="281" t="s">
        <v>2174</v>
      </c>
      <c r="E128" s="281" t="s">
        <v>26</v>
      </c>
      <c r="F128" s="503">
        <v>43258</v>
      </c>
      <c r="G128" s="503">
        <v>43325</v>
      </c>
      <c r="H128" s="503">
        <v>43339</v>
      </c>
      <c r="I128" s="504">
        <v>19000</v>
      </c>
      <c r="J128" s="505"/>
      <c r="K128" s="505"/>
      <c r="L128" s="506"/>
      <c r="M128" s="502"/>
      <c r="O128" s="507">
        <f t="shared" si="1"/>
        <v>0</v>
      </c>
    </row>
    <row r="129" spans="1:15">
      <c r="A129" s="280" t="s">
        <v>2177</v>
      </c>
      <c r="B129" s="281" t="s">
        <v>174</v>
      </c>
      <c r="C129" s="282" t="s">
        <v>2179</v>
      </c>
      <c r="D129" s="281" t="s">
        <v>33</v>
      </c>
      <c r="E129" s="281" t="s">
        <v>26</v>
      </c>
      <c r="F129" s="503">
        <v>43258</v>
      </c>
      <c r="G129" s="503">
        <v>43438</v>
      </c>
      <c r="H129" s="503">
        <v>43444</v>
      </c>
      <c r="I129" s="504">
        <v>311840.62</v>
      </c>
      <c r="J129" s="505"/>
      <c r="K129" s="505"/>
      <c r="L129" s="506"/>
      <c r="M129" s="502"/>
      <c r="O129" s="507">
        <f t="shared" si="1"/>
        <v>0</v>
      </c>
    </row>
    <row r="130" spans="1:15">
      <c r="A130" s="280" t="s">
        <v>2178</v>
      </c>
      <c r="B130" s="281" t="s">
        <v>23</v>
      </c>
      <c r="C130" s="282" t="s">
        <v>2179</v>
      </c>
      <c r="D130" s="281" t="s">
        <v>2174</v>
      </c>
      <c r="E130" s="281" t="s">
        <v>26</v>
      </c>
      <c r="F130" s="503">
        <v>43258</v>
      </c>
      <c r="G130" s="503">
        <v>43258</v>
      </c>
      <c r="H130" s="503">
        <v>43454</v>
      </c>
      <c r="I130" s="504">
        <v>55242.6</v>
      </c>
      <c r="J130" s="505">
        <v>521083.22</v>
      </c>
      <c r="K130" s="505">
        <v>460612</v>
      </c>
      <c r="L130" s="506">
        <v>60471.219999999972</v>
      </c>
      <c r="M130" s="502"/>
      <c r="O130" s="507">
        <f t="shared" si="1"/>
        <v>0</v>
      </c>
    </row>
    <row r="131" spans="1:15">
      <c r="A131" s="280" t="s">
        <v>2180</v>
      </c>
      <c r="B131" s="281" t="s">
        <v>93</v>
      </c>
      <c r="C131" s="282" t="s">
        <v>2183</v>
      </c>
      <c r="D131" s="281" t="s">
        <v>2070</v>
      </c>
      <c r="E131" s="281" t="s">
        <v>2184</v>
      </c>
      <c r="F131" s="503">
        <v>43414</v>
      </c>
      <c r="G131" s="503">
        <v>43514</v>
      </c>
      <c r="H131" s="503">
        <v>43522</v>
      </c>
      <c r="I131" s="504">
        <v>510000</v>
      </c>
      <c r="J131" s="505"/>
      <c r="K131" s="505"/>
      <c r="L131" s="506"/>
      <c r="M131" s="502"/>
      <c r="O131" s="507">
        <f t="shared" si="1"/>
        <v>0</v>
      </c>
    </row>
    <row r="132" spans="1:15">
      <c r="A132" s="280" t="s">
        <v>2181</v>
      </c>
      <c r="B132" s="281" t="s">
        <v>23</v>
      </c>
      <c r="C132" s="282" t="s">
        <v>2183</v>
      </c>
      <c r="D132" s="281" t="s">
        <v>1879</v>
      </c>
      <c r="E132" s="281" t="s">
        <v>2184</v>
      </c>
      <c r="F132" s="503">
        <v>43414</v>
      </c>
      <c r="G132" s="503">
        <v>43514</v>
      </c>
      <c r="H132" s="503">
        <v>43522</v>
      </c>
      <c r="I132" s="504">
        <v>40421.81</v>
      </c>
      <c r="J132" s="505"/>
      <c r="K132" s="505"/>
      <c r="L132" s="506"/>
      <c r="M132" s="502"/>
      <c r="O132" s="507">
        <f t="shared" si="1"/>
        <v>0</v>
      </c>
    </row>
    <row r="133" spans="1:15">
      <c r="A133" s="280" t="s">
        <v>2182</v>
      </c>
      <c r="B133" s="281" t="s">
        <v>174</v>
      </c>
      <c r="C133" s="282" t="s">
        <v>2183</v>
      </c>
      <c r="D133" s="281" t="s">
        <v>33</v>
      </c>
      <c r="E133" s="281" t="s">
        <v>2184</v>
      </c>
      <c r="F133" s="503">
        <v>43414</v>
      </c>
      <c r="G133" s="503">
        <v>43514</v>
      </c>
      <c r="H133" s="503">
        <v>43532</v>
      </c>
      <c r="I133" s="504">
        <v>12917.54</v>
      </c>
      <c r="J133" s="505">
        <v>563339.35000000009</v>
      </c>
      <c r="K133" s="505">
        <v>460612</v>
      </c>
      <c r="L133" s="506">
        <v>102727.35000000009</v>
      </c>
      <c r="M133" s="502"/>
      <c r="O133" s="507">
        <f t="shared" si="1"/>
        <v>0</v>
      </c>
    </row>
    <row r="134" spans="1:15">
      <c r="A134" s="280" t="s">
        <v>2185</v>
      </c>
      <c r="B134" s="281" t="s">
        <v>1917</v>
      </c>
      <c r="C134" s="282" t="s">
        <v>2188</v>
      </c>
      <c r="D134" s="281" t="s">
        <v>33</v>
      </c>
      <c r="E134" s="281" t="s">
        <v>606</v>
      </c>
      <c r="F134" s="503">
        <v>43425</v>
      </c>
      <c r="G134" s="503">
        <v>43480</v>
      </c>
      <c r="H134" s="503">
        <v>43489</v>
      </c>
      <c r="I134" s="504">
        <v>7000</v>
      </c>
      <c r="J134" s="505"/>
      <c r="K134" s="505"/>
      <c r="L134" s="506"/>
      <c r="M134" s="502"/>
      <c r="O134" s="507">
        <f t="shared" si="1"/>
        <v>0</v>
      </c>
    </row>
    <row r="135" spans="1:15">
      <c r="A135" s="280" t="s">
        <v>2186</v>
      </c>
      <c r="B135" s="281" t="s">
        <v>174</v>
      </c>
      <c r="C135" s="282" t="s">
        <v>2188</v>
      </c>
      <c r="D135" s="281" t="s">
        <v>33</v>
      </c>
      <c r="E135" s="281" t="s">
        <v>606</v>
      </c>
      <c r="F135" s="503">
        <v>43425</v>
      </c>
      <c r="G135" s="503">
        <v>43487</v>
      </c>
      <c r="H135" s="503">
        <v>43489</v>
      </c>
      <c r="I135" s="504">
        <v>500000</v>
      </c>
      <c r="J135" s="505"/>
      <c r="K135" s="505"/>
      <c r="L135" s="506"/>
      <c r="M135" s="502"/>
      <c r="O135" s="507">
        <f t="shared" si="1"/>
        <v>0</v>
      </c>
    </row>
    <row r="136" spans="1:15">
      <c r="A136" s="280" t="s">
        <v>2187</v>
      </c>
      <c r="B136" s="281" t="s">
        <v>23</v>
      </c>
      <c r="C136" s="282" t="s">
        <v>2188</v>
      </c>
      <c r="D136" s="281" t="s">
        <v>1879</v>
      </c>
      <c r="E136" s="281" t="s">
        <v>606</v>
      </c>
      <c r="F136" s="503">
        <v>43425</v>
      </c>
      <c r="G136" s="503">
        <v>43480</v>
      </c>
      <c r="H136" s="503">
        <v>43489</v>
      </c>
      <c r="I136" s="504">
        <v>54500</v>
      </c>
      <c r="J136" s="505">
        <v>561500</v>
      </c>
      <c r="K136" s="505">
        <v>460612</v>
      </c>
      <c r="L136" s="506">
        <v>100888</v>
      </c>
      <c r="M136" s="502"/>
      <c r="O136" s="507">
        <f t="shared" si="1"/>
        <v>0</v>
      </c>
    </row>
    <row r="137" spans="1:15">
      <c r="A137" s="280" t="s">
        <v>1937</v>
      </c>
      <c r="B137" s="281" t="s">
        <v>23</v>
      </c>
      <c r="C137" s="282" t="s">
        <v>1938</v>
      </c>
      <c r="D137" s="281" t="s">
        <v>1879</v>
      </c>
      <c r="E137" s="281" t="s">
        <v>1939</v>
      </c>
      <c r="F137" s="503">
        <v>43134</v>
      </c>
      <c r="G137" s="503">
        <v>43145</v>
      </c>
      <c r="H137" s="503">
        <v>43216</v>
      </c>
      <c r="I137" s="504">
        <v>30000</v>
      </c>
      <c r="J137" s="505"/>
      <c r="K137" s="505"/>
      <c r="L137" s="506"/>
      <c r="M137" s="502"/>
      <c r="O137" s="507">
        <f t="shared" si="1"/>
        <v>0</v>
      </c>
    </row>
    <row r="138" spans="1:15">
      <c r="A138" s="280" t="s">
        <v>1940</v>
      </c>
      <c r="B138" s="281" t="s">
        <v>174</v>
      </c>
      <c r="C138" s="282" t="s">
        <v>1938</v>
      </c>
      <c r="D138" s="281" t="s">
        <v>33</v>
      </c>
      <c r="E138" s="281" t="s">
        <v>1939</v>
      </c>
      <c r="F138" s="503">
        <v>43134</v>
      </c>
      <c r="G138" s="503">
        <v>43145</v>
      </c>
      <c r="H138" s="503">
        <v>43241</v>
      </c>
      <c r="I138" s="504">
        <v>510357.9</v>
      </c>
      <c r="J138" s="505">
        <v>540357.9</v>
      </c>
      <c r="K138" s="505">
        <v>460612</v>
      </c>
      <c r="L138" s="506">
        <v>79745.900000000023</v>
      </c>
      <c r="M138" s="502"/>
      <c r="O138" s="507">
        <f t="shared" si="1"/>
        <v>0</v>
      </c>
    </row>
    <row r="139" spans="1:15">
      <c r="A139" s="280" t="s">
        <v>2189</v>
      </c>
      <c r="B139" s="281" t="s">
        <v>174</v>
      </c>
      <c r="C139" s="282" t="s">
        <v>2192</v>
      </c>
      <c r="D139" s="281" t="s">
        <v>33</v>
      </c>
      <c r="E139" s="281" t="s">
        <v>2193</v>
      </c>
      <c r="F139" s="503">
        <v>43351</v>
      </c>
      <c r="G139" s="503">
        <v>43390</v>
      </c>
      <c r="H139" s="503">
        <v>43397</v>
      </c>
      <c r="I139" s="504">
        <v>996800</v>
      </c>
      <c r="J139" s="505"/>
      <c r="K139" s="505"/>
      <c r="L139" s="506"/>
      <c r="M139" s="502"/>
      <c r="O139" s="507">
        <f t="shared" ref="O139:O164" si="2">IF($J139&gt;P$8,$J139-P$8,0)</f>
        <v>0</v>
      </c>
    </row>
    <row r="140" spans="1:15">
      <c r="A140" s="280" t="s">
        <v>2190</v>
      </c>
      <c r="B140" s="281" t="s">
        <v>23</v>
      </c>
      <c r="C140" s="282" t="s">
        <v>2192</v>
      </c>
      <c r="D140" s="281" t="s">
        <v>1879</v>
      </c>
      <c r="E140" s="281" t="s">
        <v>2193</v>
      </c>
      <c r="F140" s="503">
        <v>43351</v>
      </c>
      <c r="G140" s="503">
        <v>43390</v>
      </c>
      <c r="H140" s="503">
        <v>43397</v>
      </c>
      <c r="I140" s="504">
        <v>46629.25</v>
      </c>
      <c r="J140" s="505"/>
      <c r="K140" s="505"/>
      <c r="L140" s="506"/>
      <c r="M140" s="502"/>
      <c r="O140" s="507">
        <f t="shared" si="2"/>
        <v>0</v>
      </c>
    </row>
    <row r="141" spans="1:15">
      <c r="A141" s="280" t="s">
        <v>2191</v>
      </c>
      <c r="B141" s="281" t="s">
        <v>23</v>
      </c>
      <c r="C141" s="282" t="s">
        <v>2192</v>
      </c>
      <c r="D141" s="281" t="s">
        <v>1879</v>
      </c>
      <c r="E141" s="281" t="s">
        <v>2193</v>
      </c>
      <c r="F141" s="503">
        <v>43351</v>
      </c>
      <c r="G141" s="503">
        <v>43395</v>
      </c>
      <c r="H141" s="503">
        <v>43398</v>
      </c>
      <c r="I141" s="504">
        <v>9493.99</v>
      </c>
      <c r="J141" s="505">
        <v>1052923.24</v>
      </c>
      <c r="K141" s="505">
        <v>460612</v>
      </c>
      <c r="L141" s="506">
        <v>592311.24</v>
      </c>
      <c r="M141" s="502"/>
      <c r="O141" s="507">
        <f t="shared" si="2"/>
        <v>331219.24</v>
      </c>
    </row>
    <row r="142" spans="1:15">
      <c r="A142" s="280" t="s">
        <v>2194</v>
      </c>
      <c r="B142" s="281" t="s">
        <v>174</v>
      </c>
      <c r="C142" s="282" t="s">
        <v>2196</v>
      </c>
      <c r="D142" s="281" t="s">
        <v>33</v>
      </c>
      <c r="E142" s="281" t="s">
        <v>2197</v>
      </c>
      <c r="F142" s="503">
        <v>43361</v>
      </c>
      <c r="G142" s="503">
        <v>43391</v>
      </c>
      <c r="H142" s="503">
        <v>43399</v>
      </c>
      <c r="I142" s="504">
        <v>198263.95</v>
      </c>
      <c r="J142" s="505"/>
      <c r="K142" s="505"/>
      <c r="L142" s="506"/>
      <c r="M142" s="502"/>
      <c r="O142" s="507">
        <f t="shared" si="2"/>
        <v>0</v>
      </c>
    </row>
    <row r="143" spans="1:15">
      <c r="A143" s="280" t="s">
        <v>2195</v>
      </c>
      <c r="B143" s="281" t="s">
        <v>23</v>
      </c>
      <c r="C143" s="282" t="s">
        <v>2196</v>
      </c>
      <c r="D143" s="281" t="s">
        <v>1879</v>
      </c>
      <c r="E143" s="281" t="s">
        <v>2197</v>
      </c>
      <c r="F143" s="503">
        <v>43361</v>
      </c>
      <c r="G143" s="503">
        <v>43391</v>
      </c>
      <c r="H143" s="503">
        <v>43399</v>
      </c>
      <c r="I143" s="504">
        <v>307500</v>
      </c>
      <c r="J143" s="505">
        <v>505763.95</v>
      </c>
      <c r="K143" s="505">
        <v>460612</v>
      </c>
      <c r="L143" s="506">
        <v>45151.950000000012</v>
      </c>
      <c r="M143" s="502"/>
      <c r="O143" s="507">
        <f t="shared" si="2"/>
        <v>0</v>
      </c>
    </row>
    <row r="144" spans="1:15">
      <c r="A144" s="280" t="s">
        <v>2198</v>
      </c>
      <c r="B144" s="281" t="s">
        <v>30</v>
      </c>
      <c r="C144" s="282" t="s">
        <v>2200</v>
      </c>
      <c r="D144" s="281" t="s">
        <v>1879</v>
      </c>
      <c r="E144" s="281" t="s">
        <v>2201</v>
      </c>
      <c r="F144" s="503">
        <v>43403</v>
      </c>
      <c r="G144" s="503">
        <v>43552</v>
      </c>
      <c r="H144" s="503">
        <v>43567</v>
      </c>
      <c r="I144" s="504">
        <v>249154.51</v>
      </c>
      <c r="J144" s="505"/>
      <c r="K144" s="505"/>
      <c r="L144" s="506"/>
      <c r="M144" s="502"/>
      <c r="O144" s="507">
        <f t="shared" si="2"/>
        <v>0</v>
      </c>
    </row>
    <row r="145" spans="1:15">
      <c r="A145" s="280" t="s">
        <v>2199</v>
      </c>
      <c r="B145" s="281" t="s">
        <v>174</v>
      </c>
      <c r="C145" s="282" t="s">
        <v>2200</v>
      </c>
      <c r="D145" s="281" t="s">
        <v>33</v>
      </c>
      <c r="E145" s="281" t="s">
        <v>2201</v>
      </c>
      <c r="F145" s="503">
        <v>43403</v>
      </c>
      <c r="G145" s="503">
        <v>43552</v>
      </c>
      <c r="H145" s="503">
        <v>43567</v>
      </c>
      <c r="I145" s="504">
        <v>323560.93</v>
      </c>
      <c r="J145" s="505">
        <v>572715.43999999994</v>
      </c>
      <c r="K145" s="505">
        <v>460612</v>
      </c>
      <c r="L145" s="506">
        <v>112103.43999999994</v>
      </c>
      <c r="M145" s="502"/>
      <c r="O145" s="507">
        <f t="shared" si="2"/>
        <v>0</v>
      </c>
    </row>
    <row r="146" spans="1:15">
      <c r="A146" s="280" t="s">
        <v>2202</v>
      </c>
      <c r="B146" s="281" t="s">
        <v>174</v>
      </c>
      <c r="C146" s="282" t="s">
        <v>2206</v>
      </c>
      <c r="D146" s="281" t="s">
        <v>33</v>
      </c>
      <c r="E146" s="281" t="s">
        <v>38</v>
      </c>
      <c r="F146" s="503">
        <v>43448</v>
      </c>
      <c r="G146" s="503">
        <v>43486</v>
      </c>
      <c r="H146" s="503">
        <v>43494</v>
      </c>
      <c r="I146" s="504">
        <v>683946.29</v>
      </c>
      <c r="J146" s="505"/>
      <c r="K146" s="505"/>
      <c r="L146" s="506"/>
      <c r="M146" s="502"/>
      <c r="O146" s="507">
        <f t="shared" si="2"/>
        <v>0</v>
      </c>
    </row>
    <row r="147" spans="1:15">
      <c r="A147" s="280" t="s">
        <v>2203</v>
      </c>
      <c r="B147" s="281" t="s">
        <v>23</v>
      </c>
      <c r="C147" s="282" t="s">
        <v>2206</v>
      </c>
      <c r="D147" s="281" t="s">
        <v>1879</v>
      </c>
      <c r="E147" s="281" t="s">
        <v>38</v>
      </c>
      <c r="F147" s="503">
        <v>43448</v>
      </c>
      <c r="G147" s="503">
        <v>43486</v>
      </c>
      <c r="H147" s="503">
        <v>43494</v>
      </c>
      <c r="I147" s="504">
        <v>70867.929999999993</v>
      </c>
      <c r="J147" s="505">
        <v>754814.22</v>
      </c>
      <c r="K147" s="505">
        <v>460612</v>
      </c>
      <c r="L147" s="506">
        <v>294202.21999999997</v>
      </c>
      <c r="M147" s="502"/>
      <c r="O147" s="507">
        <f t="shared" si="2"/>
        <v>33110.219999999972</v>
      </c>
    </row>
    <row r="148" spans="1:15">
      <c r="A148" s="280" t="s">
        <v>1979</v>
      </c>
      <c r="B148" s="281" t="s">
        <v>23</v>
      </c>
      <c r="C148" s="282" t="s">
        <v>1980</v>
      </c>
      <c r="D148" s="281" t="s">
        <v>1879</v>
      </c>
      <c r="E148" s="281" t="s">
        <v>1981</v>
      </c>
      <c r="F148" s="503">
        <v>43134</v>
      </c>
      <c r="G148" s="503">
        <v>43166</v>
      </c>
      <c r="H148" s="503">
        <v>43203</v>
      </c>
      <c r="I148" s="504">
        <v>35343.599999999999</v>
      </c>
      <c r="J148" s="505"/>
      <c r="K148" s="505"/>
      <c r="L148" s="506"/>
      <c r="M148" s="502"/>
      <c r="O148" s="507">
        <f t="shared" si="2"/>
        <v>0</v>
      </c>
    </row>
    <row r="149" spans="1:15">
      <c r="A149" s="280" t="s">
        <v>1982</v>
      </c>
      <c r="B149" s="281" t="s">
        <v>93</v>
      </c>
      <c r="C149" s="282" t="s">
        <v>1980</v>
      </c>
      <c r="D149" s="281" t="s">
        <v>2070</v>
      </c>
      <c r="E149" s="281" t="s">
        <v>1981</v>
      </c>
      <c r="F149" s="503">
        <v>43134</v>
      </c>
      <c r="G149" s="503">
        <v>43193</v>
      </c>
      <c r="H149" s="503">
        <v>43297</v>
      </c>
      <c r="I149" s="504">
        <v>510000</v>
      </c>
      <c r="J149" s="505"/>
      <c r="K149" s="505"/>
      <c r="L149" s="506"/>
      <c r="M149" s="502"/>
      <c r="O149" s="507">
        <f t="shared" si="2"/>
        <v>0</v>
      </c>
    </row>
    <row r="150" spans="1:15">
      <c r="A150" s="280" t="s">
        <v>1983</v>
      </c>
      <c r="B150" s="281" t="s">
        <v>174</v>
      </c>
      <c r="C150" s="282" t="s">
        <v>1980</v>
      </c>
      <c r="D150" s="281" t="s">
        <v>33</v>
      </c>
      <c r="E150" s="281" t="s">
        <v>1981</v>
      </c>
      <c r="F150" s="503">
        <v>43134</v>
      </c>
      <c r="G150" s="503">
        <v>43264</v>
      </c>
      <c r="H150" s="503">
        <v>43367</v>
      </c>
      <c r="I150" s="504">
        <v>241503.02</v>
      </c>
      <c r="J150" s="505">
        <v>786846.62</v>
      </c>
      <c r="K150" s="505">
        <v>460612</v>
      </c>
      <c r="L150" s="506">
        <v>326234.62</v>
      </c>
      <c r="M150" s="502"/>
      <c r="O150" s="507">
        <f t="shared" si="2"/>
        <v>65142.619999999995</v>
      </c>
    </row>
    <row r="151" spans="1:15">
      <c r="A151" s="280" t="s">
        <v>2204</v>
      </c>
      <c r="B151" s="281" t="s">
        <v>174</v>
      </c>
      <c r="C151" s="282" t="s">
        <v>2207</v>
      </c>
      <c r="D151" s="281" t="s">
        <v>38</v>
      </c>
      <c r="E151" s="281" t="s">
        <v>33</v>
      </c>
      <c r="F151" s="503">
        <v>43406</v>
      </c>
      <c r="G151" s="503">
        <v>43726</v>
      </c>
      <c r="H151" s="503">
        <v>43734</v>
      </c>
      <c r="I151" s="504">
        <v>459900</v>
      </c>
      <c r="J151" s="505"/>
      <c r="K151" s="505"/>
      <c r="L151" s="506"/>
      <c r="M151" s="502"/>
      <c r="O151" s="507">
        <f t="shared" si="2"/>
        <v>0</v>
      </c>
    </row>
    <row r="152" spans="1:15">
      <c r="A152" s="280" t="s">
        <v>2205</v>
      </c>
      <c r="B152" s="281" t="s">
        <v>23</v>
      </c>
      <c r="C152" s="282" t="s">
        <v>2207</v>
      </c>
      <c r="D152" s="281" t="s">
        <v>38</v>
      </c>
      <c r="E152" s="281" t="s">
        <v>33</v>
      </c>
      <c r="F152" s="503">
        <v>43406</v>
      </c>
      <c r="G152" s="503">
        <v>43726</v>
      </c>
      <c r="H152" s="503">
        <v>43734</v>
      </c>
      <c r="I152" s="504">
        <v>191076.56</v>
      </c>
      <c r="J152" s="505">
        <v>650976.56000000006</v>
      </c>
      <c r="K152" s="505">
        <v>460612</v>
      </c>
      <c r="L152" s="506">
        <v>190364.56000000006</v>
      </c>
      <c r="M152" s="502"/>
      <c r="O152" s="507">
        <f t="shared" si="2"/>
        <v>0</v>
      </c>
    </row>
    <row r="153" spans="1:15">
      <c r="A153" s="280" t="s">
        <v>2208</v>
      </c>
      <c r="B153" s="281" t="s">
        <v>174</v>
      </c>
      <c r="C153" s="282" t="s">
        <v>2218</v>
      </c>
      <c r="D153" s="281" t="s">
        <v>2071</v>
      </c>
      <c r="E153" s="281" t="s">
        <v>2219</v>
      </c>
      <c r="F153" s="503">
        <v>43425</v>
      </c>
      <c r="G153" s="503">
        <v>43521</v>
      </c>
      <c r="H153" s="503">
        <v>43522</v>
      </c>
      <c r="I153" s="504">
        <v>198593.59</v>
      </c>
      <c r="J153" s="505"/>
      <c r="K153" s="505"/>
      <c r="L153" s="506"/>
      <c r="M153" s="502"/>
      <c r="O153" s="507">
        <f t="shared" si="2"/>
        <v>0</v>
      </c>
    </row>
    <row r="154" spans="1:15">
      <c r="A154" s="280" t="s">
        <v>2209</v>
      </c>
      <c r="B154" s="281" t="s">
        <v>23</v>
      </c>
      <c r="C154" s="282" t="s">
        <v>2218</v>
      </c>
      <c r="D154" s="281" t="s">
        <v>1879</v>
      </c>
      <c r="E154" s="281" t="s">
        <v>2219</v>
      </c>
      <c r="F154" s="503">
        <v>43425</v>
      </c>
      <c r="G154" s="503">
        <v>43521</v>
      </c>
      <c r="H154" s="503">
        <v>43522</v>
      </c>
      <c r="I154" s="504">
        <v>39856.65</v>
      </c>
      <c r="J154" s="505"/>
      <c r="K154" s="505"/>
      <c r="L154" s="506"/>
      <c r="M154" s="502"/>
      <c r="O154" s="507">
        <f t="shared" si="2"/>
        <v>0</v>
      </c>
    </row>
    <row r="155" spans="1:15">
      <c r="A155" s="280" t="s">
        <v>2210</v>
      </c>
      <c r="B155" s="281" t="s">
        <v>174</v>
      </c>
      <c r="C155" s="282" t="s">
        <v>2218</v>
      </c>
      <c r="D155" s="281" t="s">
        <v>33</v>
      </c>
      <c r="E155" s="281" t="s">
        <v>2219</v>
      </c>
      <c r="F155" s="503">
        <v>43425</v>
      </c>
      <c r="G155" s="503">
        <v>43507</v>
      </c>
      <c r="H155" s="503">
        <v>43514</v>
      </c>
      <c r="I155" s="504">
        <v>11684.27</v>
      </c>
      <c r="J155" s="505"/>
      <c r="K155" s="505"/>
      <c r="L155" s="506"/>
      <c r="M155" s="502"/>
      <c r="O155" s="507">
        <f t="shared" si="2"/>
        <v>0</v>
      </c>
    </row>
    <row r="156" spans="1:15">
      <c r="A156" s="280" t="s">
        <v>2211</v>
      </c>
      <c r="B156" s="281" t="s">
        <v>23</v>
      </c>
      <c r="C156" s="282" t="s">
        <v>2218</v>
      </c>
      <c r="D156" s="281" t="s">
        <v>1879</v>
      </c>
      <c r="E156" s="281" t="s">
        <v>2219</v>
      </c>
      <c r="F156" s="503">
        <v>43425</v>
      </c>
      <c r="G156" s="503">
        <v>43507</v>
      </c>
      <c r="H156" s="503">
        <v>43514</v>
      </c>
      <c r="I156" s="504">
        <v>9140.94</v>
      </c>
      <c r="J156" s="505"/>
      <c r="K156" s="505"/>
      <c r="L156" s="506"/>
      <c r="M156" s="502"/>
      <c r="O156" s="507">
        <f t="shared" si="2"/>
        <v>0</v>
      </c>
    </row>
    <row r="157" spans="1:15">
      <c r="A157" s="280" t="s">
        <v>2212</v>
      </c>
      <c r="B157" s="281" t="s">
        <v>174</v>
      </c>
      <c r="C157" s="282" t="s">
        <v>2218</v>
      </c>
      <c r="D157" s="281" t="s">
        <v>33</v>
      </c>
      <c r="E157" s="281" t="s">
        <v>2219</v>
      </c>
      <c r="F157" s="503">
        <v>43425</v>
      </c>
      <c r="G157" s="503">
        <v>43509</v>
      </c>
      <c r="H157" s="503">
        <v>43517</v>
      </c>
      <c r="I157" s="504">
        <v>150000</v>
      </c>
      <c r="J157" s="505"/>
      <c r="K157" s="505"/>
      <c r="L157" s="506"/>
      <c r="M157" s="502"/>
      <c r="O157" s="507">
        <f t="shared" si="2"/>
        <v>0</v>
      </c>
    </row>
    <row r="158" spans="1:15">
      <c r="A158" s="280" t="s">
        <v>2213</v>
      </c>
      <c r="B158" s="281" t="s">
        <v>23</v>
      </c>
      <c r="C158" s="282" t="s">
        <v>2218</v>
      </c>
      <c r="D158" s="281" t="s">
        <v>1879</v>
      </c>
      <c r="E158" s="281" t="s">
        <v>2219</v>
      </c>
      <c r="F158" s="503">
        <v>43425</v>
      </c>
      <c r="G158" s="503">
        <v>43509</v>
      </c>
      <c r="H158" s="503">
        <v>43517</v>
      </c>
      <c r="I158" s="504">
        <v>62875.44</v>
      </c>
      <c r="J158" s="505"/>
      <c r="K158" s="505"/>
      <c r="L158" s="506"/>
      <c r="M158" s="502"/>
      <c r="O158" s="507">
        <f t="shared" si="2"/>
        <v>0</v>
      </c>
    </row>
    <row r="159" spans="1:15">
      <c r="A159" s="280" t="s">
        <v>2214</v>
      </c>
      <c r="B159" s="281" t="s">
        <v>36</v>
      </c>
      <c r="C159" s="282" t="s">
        <v>2218</v>
      </c>
      <c r="D159" s="281" t="s">
        <v>33</v>
      </c>
      <c r="E159" s="281" t="s">
        <v>2219</v>
      </c>
      <c r="F159" s="503">
        <v>43425</v>
      </c>
      <c r="G159" s="503">
        <v>43509</v>
      </c>
      <c r="H159" s="503">
        <v>43581</v>
      </c>
      <c r="I159" s="504">
        <v>136689.35999999999</v>
      </c>
      <c r="J159" s="505"/>
      <c r="K159" s="505"/>
      <c r="L159" s="506"/>
      <c r="M159" s="502"/>
      <c r="O159" s="507">
        <f t="shared" si="2"/>
        <v>0</v>
      </c>
    </row>
    <row r="160" spans="1:15">
      <c r="A160" s="280" t="s">
        <v>2215</v>
      </c>
      <c r="B160" s="281" t="s">
        <v>30</v>
      </c>
      <c r="C160" s="282" t="s">
        <v>2218</v>
      </c>
      <c r="D160" s="281" t="s">
        <v>2070</v>
      </c>
      <c r="E160" s="281" t="s">
        <v>841</v>
      </c>
      <c r="F160" s="503">
        <v>43425</v>
      </c>
      <c r="G160" s="503">
        <v>43591</v>
      </c>
      <c r="H160" s="503">
        <v>43605</v>
      </c>
      <c r="I160" s="504">
        <v>46843.199999999997</v>
      </c>
      <c r="J160" s="505"/>
      <c r="K160" s="505"/>
      <c r="L160" s="506"/>
      <c r="M160" s="502"/>
      <c r="O160" s="507">
        <f t="shared" si="2"/>
        <v>0</v>
      </c>
    </row>
    <row r="161" spans="1:15">
      <c r="A161" s="280" t="s">
        <v>2216</v>
      </c>
      <c r="B161" s="281" t="s">
        <v>174</v>
      </c>
      <c r="C161" s="282" t="s">
        <v>2218</v>
      </c>
      <c r="D161" s="281" t="s">
        <v>33</v>
      </c>
      <c r="E161" s="281" t="s">
        <v>2219</v>
      </c>
      <c r="F161" s="503">
        <v>43425</v>
      </c>
      <c r="G161" s="503">
        <v>43515</v>
      </c>
      <c r="H161" s="503">
        <v>43522</v>
      </c>
      <c r="I161" s="504">
        <v>63388.32</v>
      </c>
      <c r="J161" s="505"/>
      <c r="K161" s="505"/>
      <c r="L161" s="506"/>
      <c r="M161" s="502"/>
      <c r="O161" s="507">
        <f t="shared" si="2"/>
        <v>0</v>
      </c>
    </row>
    <row r="162" spans="1:15">
      <c r="A162" s="280" t="s">
        <v>2217</v>
      </c>
      <c r="B162" s="281" t="s">
        <v>23</v>
      </c>
      <c r="C162" s="282" t="s">
        <v>2218</v>
      </c>
      <c r="D162" s="281" t="s">
        <v>1879</v>
      </c>
      <c r="E162" s="281" t="s">
        <v>2219</v>
      </c>
      <c r="F162" s="503">
        <v>43425</v>
      </c>
      <c r="G162" s="503">
        <v>43515</v>
      </c>
      <c r="H162" s="503">
        <v>43522</v>
      </c>
      <c r="I162" s="504">
        <v>18353.419999999998</v>
      </c>
      <c r="J162" s="505">
        <v>737425.19</v>
      </c>
      <c r="K162" s="505">
        <v>460612</v>
      </c>
      <c r="L162" s="506">
        <v>276813.18999999994</v>
      </c>
      <c r="M162" s="502"/>
      <c r="O162" s="507">
        <f t="shared" si="2"/>
        <v>15721.189999999944</v>
      </c>
    </row>
    <row r="163" spans="1:15">
      <c r="A163" s="280" t="s">
        <v>1984</v>
      </c>
      <c r="B163" s="281" t="s">
        <v>1985</v>
      </c>
      <c r="C163" s="282" t="s">
        <v>1986</v>
      </c>
      <c r="D163" s="281" t="s">
        <v>2115</v>
      </c>
      <c r="E163" s="281" t="s">
        <v>1987</v>
      </c>
      <c r="F163" s="503">
        <v>43276</v>
      </c>
      <c r="G163" s="503">
        <v>43341</v>
      </c>
      <c r="H163" s="503">
        <v>43367</v>
      </c>
      <c r="I163" s="504">
        <v>550000</v>
      </c>
      <c r="J163" s="505">
        <v>550000</v>
      </c>
      <c r="K163" s="505">
        <v>460612</v>
      </c>
      <c r="L163" s="506">
        <v>89388</v>
      </c>
      <c r="M163" s="502"/>
      <c r="O163" s="507">
        <f t="shared" si="2"/>
        <v>0</v>
      </c>
    </row>
    <row r="164" spans="1:15" ht="15" thickBot="1">
      <c r="A164" s="280" t="s">
        <v>1988</v>
      </c>
      <c r="B164" s="281" t="s">
        <v>93</v>
      </c>
      <c r="C164" s="282" t="s">
        <v>1989</v>
      </c>
      <c r="D164" s="281" t="s">
        <v>2070</v>
      </c>
      <c r="E164" s="281" t="s">
        <v>1990</v>
      </c>
      <c r="F164" s="503">
        <v>43248</v>
      </c>
      <c r="G164" s="503">
        <v>43304</v>
      </c>
      <c r="H164" s="503">
        <v>43314</v>
      </c>
      <c r="I164" s="504">
        <v>735000</v>
      </c>
      <c r="J164" s="505">
        <v>735000</v>
      </c>
      <c r="K164" s="505">
        <v>460612</v>
      </c>
      <c r="L164" s="506">
        <v>274388</v>
      </c>
      <c r="M164" s="502"/>
      <c r="O164" s="507">
        <f t="shared" si="2"/>
        <v>13296</v>
      </c>
    </row>
    <row r="165" spans="1:15" ht="15" thickBot="1">
      <c r="H165" s="508" t="s">
        <v>1941</v>
      </c>
      <c r="I165" s="509">
        <f>SUM(I9:I164)</f>
        <v>47007149.997500002</v>
      </c>
      <c r="J165" s="509">
        <f>SUM(J9:J164)</f>
        <v>47007149.997500002</v>
      </c>
      <c r="K165" s="509">
        <f>SUM(K9:K164)</f>
        <v>23491212</v>
      </c>
      <c r="L165" s="509">
        <f>SUM(L9:L164)</f>
        <v>23515937.997499995</v>
      </c>
      <c r="M165" s="509"/>
      <c r="O165" s="510">
        <f>SUM(O10:O164)</f>
        <v>15765471.700000001</v>
      </c>
    </row>
    <row r="166" spans="1:15">
      <c r="L166" s="83"/>
    </row>
  </sheetData>
  <autoFilter ref="B8:M8" xr:uid="{00000000-0009-0000-0000-000008000000}"/>
  <mergeCells count="9">
    <mergeCell ref="A6:M6"/>
    <mergeCell ref="A7:M7"/>
    <mergeCell ref="O6:P6"/>
    <mergeCell ref="A2:B2"/>
    <mergeCell ref="A3:B3"/>
    <mergeCell ref="A4:B4"/>
    <mergeCell ref="C4:E4"/>
    <mergeCell ref="F4:M4"/>
    <mergeCell ref="A5:M5"/>
  </mergeCells>
  <dataValidations disablePrompts="1" count="1">
    <dataValidation type="list" allowBlank="1" showInputMessage="1" showErrorMessage="1" sqref="B9:B164" xr:uid="{00000000-0002-0000-0800-000000000000}">
      <formula1>#REF!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5</vt:i4>
      </vt:variant>
    </vt:vector>
  </HeadingPairs>
  <TitlesOfParts>
    <vt:vector size="27" baseType="lpstr">
      <vt:lpstr>SINIESTROS AÑO 2010</vt:lpstr>
      <vt:lpstr>SINIESTROS AÑO 2011</vt:lpstr>
      <vt:lpstr>SINIESTROS AÑO 2012</vt:lpstr>
      <vt:lpstr>SINIESTROS AÑO 2013</vt:lpstr>
      <vt:lpstr>SINIESTROS AÑO 2014</vt:lpstr>
      <vt:lpstr>SINIESTROS AÑO 2015</vt:lpstr>
      <vt:lpstr>SINIESTROS AÑO 2016</vt:lpstr>
      <vt:lpstr>SINIESTROS AÑO 2017</vt:lpstr>
      <vt:lpstr>SINIESTROS AÑO 2018</vt:lpstr>
      <vt:lpstr>SINIESTROS AÑO 2019</vt:lpstr>
      <vt:lpstr>SINIESTROS 2020</vt:lpstr>
      <vt:lpstr>SINIESTROS 2021</vt:lpstr>
      <vt:lpstr>SINIESTROS 2022</vt:lpstr>
      <vt:lpstr>SINIESTROS 2021 TODOS</vt:lpstr>
      <vt:lpstr>SINIESTROS 2023</vt:lpstr>
      <vt:lpstr>SINIESTROS 2024</vt:lpstr>
      <vt:lpstr>SINIESTROS 2025</vt:lpstr>
      <vt:lpstr>BURNING COST</vt:lpstr>
      <vt:lpstr>IPC</vt:lpstr>
      <vt:lpstr>RESUMEN PMD PAGADAS</vt:lpstr>
      <vt:lpstr>Hoja1</vt:lpstr>
      <vt:lpstr>SIN COBERTURA</vt:lpstr>
      <vt:lpstr>IPC!Área_de_impresión</vt:lpstr>
      <vt:lpstr>'RESUMEN PMD PAGADAS'!Área_de_impresión</vt:lpstr>
      <vt:lpstr>'SINIESTROS AÑO 2011'!Área_de_impresión</vt:lpstr>
      <vt:lpstr>'SINIESTROS AÑO 2010'!Títulos_a_imprimir</vt:lpstr>
      <vt:lpstr>'SINIESTROS AÑO 2012'!Títulos_a_imprimir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Nevy Orbelina Sanchez Salgado</dc:creator>
  <cp:lastModifiedBy>Nevy Orbelina Sanchez Salgado</cp:lastModifiedBy>
  <cp:lastPrinted>2017-11-08T17:40:42Z</cp:lastPrinted>
  <dcterms:created xsi:type="dcterms:W3CDTF">2015-01-16T21:17:30Z</dcterms:created>
  <dcterms:modified xsi:type="dcterms:W3CDTF">2025-11-28T20:08:56Z</dcterms:modified>
</cp:coreProperties>
</file>